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nzioni" sheetId="2" state="visible" r:id="rId4"/>
    <sheet name="A_Immobile_Equity" sheetId="3" state="visible" r:id="rId5"/>
    <sheet name="B_Immobile_Leva" sheetId="4" state="visible" r:id="rId6"/>
    <sheet name="E_Immobile_Best" sheetId="5" state="visible" r:id="rId7"/>
    <sheet name="C_BTP" sheetId="6" state="visible" r:id="rId8"/>
    <sheet name="D_ETF_Accumulazione" sheetId="7" state="visible" r:id="rId9"/>
    <sheet name="Solver_Pareggio" sheetId="8" state="visible" r:id="rId10"/>
    <sheet name="Sensitivity" sheetId="9" state="visible" r:id="rId11"/>
    <sheet name="Note_e_Fonti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<sst xmlns="http://schemas.openxmlformats.org/spreadsheetml/2006/main" count="546" uniqueCount="438">
  <si>
    <t xml:space="preserve">CAPANNONE INDUSTRIALE (CASO ANONIMIZZATO) — CONFRONTO A 10 ANNI (DATI VERIFICATI)</t>
  </si>
  <si>
    <t xml:space="preserve">Quattro impieghi dello stesso capitale. Scenario base: acquisto dalla procedura a 360k, canone di mercato 42k.</t>
  </si>
  <si>
    <t xml:space="preserve">Venditore in procedura concorsuale: il canale d'acquisto e la variabile n.1.</t>
  </si>
  <si>
    <t xml:space="preserve">CAPITALE INVESTITO (identico in tutti gli scenari)</t>
  </si>
  <si>
    <t xml:space="preserve">prezzo + imposte d'atto + notaio + due diligence</t>
  </si>
  <si>
    <t xml:space="preserve">METRICA</t>
  </si>
  <si>
    <t xml:space="preserve">A - Immobile
100% equity</t>
  </si>
  <si>
    <t xml:space="preserve">B - Immobile
50% leva + ETF</t>
  </si>
  <si>
    <t xml:space="preserve">C - BTP
3,96% cedole</t>
  </si>
  <si>
    <t xml:space="preserve">D - ETF obbl.
accumulazione</t>
  </si>
  <si>
    <t xml:space="preserve">E - Immobile
BEST case</t>
  </si>
  <si>
    <t xml:space="preserve">IRR / TIR annuo</t>
  </si>
  <si>
    <t xml:space="preserve">Rendimento annuo composto (CAGR)</t>
  </si>
  <si>
    <t xml:space="preserve">MOIC - multiplo sul capitale</t>
  </si>
  <si>
    <t xml:space="preserve">Ricchezza finale anno 10</t>
  </si>
  <si>
    <t xml:space="preserve">Guadagno netto in 10 anni</t>
  </si>
  <si>
    <t xml:space="preserve">NPV al tasso risk-adjusted</t>
  </si>
  <si>
    <t xml:space="preserve">PROFILO DI RISCHIO (quello che l'IRR non vede)</t>
  </si>
  <si>
    <t xml:space="preserve">Liquidabilita</t>
  </si>
  <si>
    <t xml:space="preserve">8-12+ mesi</t>
  </si>
  <si>
    <t xml:space="preserve">Immediata</t>
  </si>
  <si>
    <t xml:space="preserve">Rischio conduttore (da trovare!)</t>
  </si>
  <si>
    <t xml:space="preserve">Alto</t>
  </si>
  <si>
    <t xml:space="preserve">Sovrano IT</t>
  </si>
  <si>
    <t xml:space="preserve">Diversificato</t>
  </si>
  <si>
    <t xml:space="preserve">Garantito*</t>
  </si>
  <si>
    <t xml:space="preserve">Rischio capex (amianto? sisma?)</t>
  </si>
  <si>
    <t xml:space="preserve">Si</t>
  </si>
  <si>
    <t xml:space="preserve">No</t>
  </si>
  <si>
    <t xml:space="preserve">Assunto: zero</t>
  </si>
  <si>
    <t xml:space="preserve">Rischio fisico (rischio idraulico, zona 2)</t>
  </si>
  <si>
    <t xml:space="preserve">Rischio EPBD / obsolescenza (7 m)</t>
  </si>
  <si>
    <t xml:space="preserve">Impegno gestionale</t>
  </si>
  <si>
    <t xml:space="preserve">Continuo</t>
  </si>
  <si>
    <t xml:space="preserve">Nullo</t>
  </si>
  <si>
    <t xml:space="preserve">Protezione da inflazione</t>
  </si>
  <si>
    <t xml:space="preserve">Parziale</t>
  </si>
  <si>
    <t xml:space="preserve">Nulla</t>
  </si>
  <si>
    <t xml:space="preserve">Piena (100% ISTAT)</t>
  </si>
  <si>
    <t xml:space="preserve">Opzionalita (sconto asta + edificab.)</t>
  </si>
  <si>
    <t xml:space="preserve">EXTRA-RENDIMENTO IMMOBILE (A) vs ETF (D)</t>
  </si>
  <si>
    <t xml:space="preserve">Premio per illiquidita, conduttore da trovare, capex, rischio idraulico, EPBD.</t>
  </si>
  <si>
    <t xml:space="preserve">Premio minimo che dovresti pretendere</t>
  </si>
  <si>
    <t xml:space="preserve">300 pb: soglia per un distressed secondario. Modificabile.</t>
  </si>
  <si>
    <t xml:space="preserve">VERDETTO</t>
  </si>
  <si>
    <t xml:space="preserve">Sotto soglia, meglio bond: stesso capitale, zero grattacapi.</t>
  </si>
  <si>
    <t xml:space="preserve">I QUATTRO PREZZI DELL'IMMOBILE</t>
  </si>
  <si>
    <t xml:space="preserve">Perizia di parte — SCARTATA</t>
  </si>
  <si>
    <t xml:space="preserve">Comparabili residenziali dichiarati, soppalco a 1,0, terreno circolare</t>
  </si>
  <si>
    <t xml:space="preserve">Valore di mercato ordinato (stima OMI+comparabili)</t>
  </si>
  <si>
    <t xml:space="preserve">~410 EUR/mq lordo; base del valore terminale 2036</t>
  </si>
  <si>
    <t xml:space="preserve">Prezzo ipotizzato nel modello (canale procedura)</t>
  </si>
  <si>
    <t xml:space="preserve">Sconto ~20% sul valore ordinato; asta media: -33,5% (T6)</t>
  </si>
  <si>
    <t xml:space="preserve">Rendimento netto post-imposte anno 1</t>
  </si>
  <si>
    <t xml:space="preserve">Cassa reale / capitale all-in</t>
  </si>
  <si>
    <t xml:space="preserve">Pareggio BASE col BTP (dal foglio Solver)</t>
  </si>
  <si>
    <t xml:space="preserve">Tetto razionale best+spread: =Solver_Pareggio!C19 (360.600). Deal pieno base: 198.200</t>
  </si>
  <si>
    <t xml:space="preserve">Ricchezza cumulata per anno (dati del grafico)</t>
  </si>
  <si>
    <t xml:space="preserve">Anno</t>
  </si>
  <si>
    <t xml:space="preserve">A - Immobile equity</t>
  </si>
  <si>
    <t xml:space="preserve">B - Immobile leva</t>
  </si>
  <si>
    <t xml:space="preserve">C - BTP</t>
  </si>
  <si>
    <t xml:space="preserve">D - ETF accumulazione</t>
  </si>
  <si>
    <t xml:space="preserve">E - Best case</t>
  </si>
  <si>
    <t xml:space="preserve">ASSUNZIONI — DATI VERIFICATI AL 10 AGOSTO 2026</t>
  </si>
  <si>
    <t xml:space="preserve">Celle GIALLE/BLU = input modificabili. In colonna C: fonte e stato (VERIFICATO / STIMA).</t>
  </si>
  <si>
    <t xml:space="preserve">1. IMMOBILE, PREZZO E RICAVI</t>
  </si>
  <si>
    <t xml:space="preserve">FONTE / STATO</t>
  </si>
  <si>
    <t xml:space="preserve">Prezzo di acquisto (canale procedura/asta)</t>
  </si>
  <si>
    <t xml:space="preserve">Target decisionale: sconto asta medio 33,5% (studio T6) su valore ordinato. Perizia di parte: scartata</t>
  </si>
  <si>
    <t xml:space="preserve">Valore di mercato ordinato oggi</t>
  </si>
  <si>
    <t xml:space="preserve">BASE DEL PREZZO DI VENDITA 2036: si rivende sul mercato (450k), non sul prezzo pagato. Il recupero dello sconto d'asta (~90k) e gia nel conto, tassato come plusvalenza</t>
  </si>
  <si>
    <t xml:space="preserve">Superficie lorda (mq)</t>
  </si>
  <si>
    <t xml:space="preserve">Perizia: circa 950 mq coperti piu soppalco</t>
  </si>
  <si>
    <t xml:space="preserve">Canone annuo di mercato</t>
  </si>
  <si>
    <t xml:space="preserve">VERIFICATO su comparabili di affitto locali, agosto 2026: 27-48 EUR/mq/anno; qui ~44 EUR/mq coperto. Il 60k precedente era fascia irrealistica</t>
  </si>
  <si>
    <t xml:space="preserve">Inflazione attesa di lungo periodo</t>
  </si>
  <si>
    <t xml:space="preserve">Banca d'Italia giu-2026: 3,1% (2026), 2,0% (2027), 1,9% (2028). Lungo periodo ~2%</t>
  </si>
  <si>
    <t xml:space="preserve">% adeguamento contrattuale ISTAT</t>
  </si>
  <si>
    <t xml:space="preserve">Art. 32 L.392/78, commerciale 6+6</t>
  </si>
  <si>
    <t xml:space="preserve">Crescita canone effettiva</t>
  </si>
  <si>
    <t xml:space="preserve">Prodotto inflazione x adeguamento</t>
  </si>
  <si>
    <t xml:space="preserve">Tasso di sfitto medio annuo</t>
  </si>
  <si>
    <t xml:space="preserve">STIMA: vacancy logistica IT 4,25% (Colliers Q4-25) ma secondario/7m peggiore; vuoto iniziale 6-9 mesi + turnover. Range 6-12%</t>
  </si>
  <si>
    <t xml:space="preserve">Crescita nominale valore immobile</t>
  </si>
  <si>
    <t xml:space="preserve">Capannoni: quotazioni stabili/calo reale (OMI 2025; Assolombarda -1,5/-1,8% vecchi). Base 0%, pess. -1%, ott. +1,5%</t>
  </si>
  <si>
    <t xml:space="preserve">2. COSTI DI ACQUISTO (one-off, anno 0)</t>
  </si>
  <si>
    <t xml:space="preserve">Imposta ipotecaria (% prezzo)</t>
  </si>
  <si>
    <t xml:space="preserve">Strumentale da soggetto IVA — VERIFICATO</t>
  </si>
  <si>
    <t xml:space="preserve">Imposta catastale (% prezzo)</t>
  </si>
  <si>
    <t xml:space="preserve">VERIFICATO</t>
  </si>
  <si>
    <t xml:space="preserve">Registro fisso + bolli</t>
  </si>
  <si>
    <t xml:space="preserve">Registro 200 + tributi</t>
  </si>
  <si>
    <t xml:space="preserve">Onorario notarile</t>
  </si>
  <si>
    <t xml:space="preserve">STIMA di mercato; in asta si aggiungono oneri di trasferimento ridotti</t>
  </si>
  <si>
    <t xml:space="preserve">Due diligence tecnico-legale</t>
  </si>
  <si>
    <t xml:space="preserve">Catastale, urbanistica, sismica, AMIANTO, idraulica</t>
  </si>
  <si>
    <t xml:space="preserve">Provvigione agenzia acquisto (%)</t>
  </si>
  <si>
    <t xml:space="preserve">Canale procedura: nessuna agenzia</t>
  </si>
  <si>
    <t xml:space="preserve">TOTALE COSTI DI ACQUISTO</t>
  </si>
  <si>
    <t xml:space="preserve">CAPITALE ALL-IN INVESTITO</t>
  </si>
  <si>
    <t xml:space="preserve">Base identica per tutti e 4 gli scenari</t>
  </si>
  <si>
    <t xml:space="preserve">3. COSTI OPERATIVI RICORRENTI</t>
  </si>
  <si>
    <t xml:space="preserve">IMU fabbricato cat. D</t>
  </si>
  <si>
    <t xml:space="preserve">Aliquota 1,06% VERIFICATA (delibera comunale IMU). Rendita 15.000 = STIMA: la visura e il dato n.1 da reperire (range 13-17k)</t>
  </si>
  <si>
    <t xml:space="preserve">IMU area edificabile residua</t>
  </si>
  <si>
    <t xml:space="preserve">STIMA su valore venale; valori comunali euro/mq da chiedere all'ufficio tributi</t>
  </si>
  <si>
    <t xml:space="preserve">Assicurazione globale + CAT NAT</t>
  </si>
  <si>
    <t xml:space="preserve">CAT NAT obbligatoria (L.213/2023, DM 18/2025); zona a rischio idraulico = premio alto. Range 6-9k. STIMA, serve preventivo broker</t>
  </si>
  <si>
    <t xml:space="preserve">Manutenzione ordinaria (riserva)</t>
  </si>
  <si>
    <t xml:space="preserve">Benchmark 5-8 EUR/mq/anno — qui 5 EUR/mq</t>
  </si>
  <si>
    <t xml:space="preserve">Property mgmt + amministrazione</t>
  </si>
  <si>
    <t xml:space="preserve">2-5% del canone di mercato + contabilita</t>
  </si>
  <si>
    <t xml:space="preserve">Registro contratto (% ricavi, quota locatore)</t>
  </si>
  <si>
    <t xml:space="preserve">1% totale, 50% locatore — VERIFICATO</t>
  </si>
  <si>
    <t xml:space="preserve">4. CAPEX STRAORDINARIO E RILOCAZIONE (eventi datati)</t>
  </si>
  <si>
    <t xml:space="preserve">Capex anno 5 — copertura shed / amianto</t>
  </si>
  <si>
    <t xml:space="preserve">Bonifica amianto 15-60 EUR/mq (grandi coperture 9-16) + impermeabilizzazione. DATO DA SOPRALLUOGO</t>
  </si>
  <si>
    <t xml:space="preserve">Capex anno 8 — impianti / pavimento</t>
  </si>
  <si>
    <t xml:space="preserve">Revamping parziale</t>
  </si>
  <si>
    <t xml:space="preserve">Costi rilocazione anno 6</t>
  </si>
  <si>
    <t xml:space="preserve">1-2 mensilita agenzia + incentivi</t>
  </si>
  <si>
    <t xml:space="preserve">5. RISCHIO CREDITO CONDUTTORE (perdita attesa)</t>
  </si>
  <si>
    <t xml:space="preserve">Probabilita di default annua conduttore</t>
  </si>
  <si>
    <t xml:space="preserve">ABI-Cerved: Nord-Est 2,3% (2026); Italia 3,0%; CRIF pess. 4,4% — VERIFICATO</t>
  </si>
  <si>
    <t xml:space="preserve">Mesi di canone persi in caso di default</t>
  </si>
  <si>
    <t xml:space="preserve">Sfratto commerciale 3-6 mesi + rilocazione</t>
  </si>
  <si>
    <t xml:space="preserve">Costi legali e di sfratto</t>
  </si>
  <si>
    <t xml:space="preserve">Procedura per morosita</t>
  </si>
  <si>
    <t xml:space="preserve">PERDITA ATTESA ANNUA</t>
  </si>
  <si>
    <t xml:space="preserve">prob. x (canone perso + legali)</t>
  </si>
  <si>
    <t xml:space="preserve">6. FISCALITA IMMOBILE</t>
  </si>
  <si>
    <t xml:space="preserve">Aliquota IRES</t>
  </si>
  <si>
    <t xml:space="preserve">Art. 77 TUIR</t>
  </si>
  <si>
    <t xml:space="preserve">Aliquota IRAP</t>
  </si>
  <si>
    <t xml:space="preserve">regione. IMU e interessi INDEDUCIBILI IRAP</t>
  </si>
  <si>
    <t xml:space="preserve">Scorporo terreno non ammortizzabile</t>
  </si>
  <si>
    <t xml:space="preserve">VERIFICATO: 30% per destinazione oggettiva industriale anche se locato (art.36 c.7 DL 223/2006, circ. 1/E-11/E 2007)</t>
  </si>
  <si>
    <t xml:space="preserve">Aliquota ammortamento fabbricato</t>
  </si>
  <si>
    <t xml:space="preserve">VERIFICATO: DM 31/12/1988 gruppo residuale; 6% solo grande distribuzione (Cass. 4312/2021). PRIMO ANNO AL 50%</t>
  </si>
  <si>
    <t xml:space="preserve">Costo fiscalmente riconosciuto</t>
  </si>
  <si>
    <t xml:space="preserve">prezzo + imposte d'atto + notaio</t>
  </si>
  <si>
    <t xml:space="preserve">Base ammortizzabile (netto terreno 30%)</t>
  </si>
  <si>
    <t xml:space="preserve">Ammortamento annuo a regime (anno 1: 50%)</t>
  </si>
  <si>
    <t xml:space="preserve">Scudo fiscale non monetario</t>
  </si>
  <si>
    <t xml:space="preserve">7. FINANZIAMENTO — solo Scenario B</t>
  </si>
  <si>
    <t xml:space="preserve">Loan to Value (LTV)</t>
  </si>
  <si>
    <t xml:space="preserve">Industriale 50-60%; su immobile sfitto puo scendere o essere negato</t>
  </si>
  <si>
    <t xml:space="preserve">Importo mutuo ipotecario</t>
  </si>
  <si>
    <t xml:space="preserve">Tasso mutuo (fisso)</t>
  </si>
  <si>
    <t xml:space="preserve">VERIFICATO: Unimpresa 1 trim. 2026 — 4,05% fisso / 4,08% variabile imprese con ipoteca</t>
  </si>
  <si>
    <t xml:space="preserve">Durata mutuo (anni)</t>
  </si>
  <si>
    <t xml:space="preserve">Estinto a fine orizzonte</t>
  </si>
  <si>
    <t xml:space="preserve">Rata annua costante (francese)</t>
  </si>
  <si>
    <t xml:space="preserve">Imposta sostitutiva 0,25%</t>
  </si>
  <si>
    <t xml:space="preserve">Art. 15-17 DPR 601/73</t>
  </si>
  <si>
    <t xml:space="preserve">Istruttoria + perizia bancaria</t>
  </si>
  <si>
    <t xml:space="preserve">STIMA</t>
  </si>
  <si>
    <t xml:space="preserve">Interessi deducibili IRES? 1=SI 0=NO</t>
  </si>
  <si>
    <t xml:space="preserve">SI solo se 'immobiliare di gestione' (art.1 c.36 L.244/2007): attivo &gt;50% immobili locati E ricavi &gt;=2/3 canoni. DA VALIDARE</t>
  </si>
  <si>
    <t xml:space="preserve">Equity nell'immobile (Scen. B)</t>
  </si>
  <si>
    <t xml:space="preserve">Liquidita residua in ETF (Scen. B)</t>
  </si>
  <si>
    <t xml:space="preserve">Normalizza il capitale investito</t>
  </si>
  <si>
    <t xml:space="preserve">8. USCITA ANNO 10 (2036) — IMMOBILE</t>
  </si>
  <si>
    <t xml:space="preserve">Valore lordo 2036</t>
  </si>
  <si>
    <t xml:space="preserve">Formula: valore ordinato x (1+crescita)^10. Scenario atteso: crescita 0% (serie storica capannoni in calo nominale)</t>
  </si>
  <si>
    <t xml:space="preserve">Sconto di realizzo vs valore ordinato</t>
  </si>
  <si>
    <t xml:space="preserve">Base 5% (valore gia di transazione). Stress: 12,5% (Nomisma asking-closing) o 33% (asta)</t>
  </si>
  <si>
    <t xml:space="preserve">Costi di vendita (agenzia + notaio + APE)</t>
  </si>
  <si>
    <t xml:space="preserve">2-4% a carico venditore</t>
  </si>
  <si>
    <t xml:space="preserve">Prezzo netto di realizzo</t>
  </si>
  <si>
    <t xml:space="preserve">Fondo ammortamento a 10 anni (9,5 quote)</t>
  </si>
  <si>
    <t xml:space="preserve">Anno 1 dimezzato ex art. 102 TUIR</t>
  </si>
  <si>
    <t xml:space="preserve">Costo fiscale residuo</t>
  </si>
  <si>
    <t xml:space="preserve">Plusvalenza fiscale (incl. recupero sconto)</t>
  </si>
  <si>
    <t xml:space="preserve">RECAPTURE ammortamenti + sconto d'asta recuperato: entrambi tassati</t>
  </si>
  <si>
    <t xml:space="preserve">IRES su plusvalenza (NO rateizzo dal 2026)</t>
  </si>
  <si>
    <t xml:space="preserve">L. 199/2025</t>
  </si>
  <si>
    <t xml:space="preserve">INCASSO NETTO DALLA VENDITA</t>
  </si>
  <si>
    <t xml:space="preserve">9. STRUMENTI FINANZIARI (Scenari C e D)</t>
  </si>
  <si>
    <t xml:space="preserve">Rendimento lordo BTP 10 anni</t>
  </si>
  <si>
    <t xml:space="preserve">VERIFICATO 10/8/2026: 3,96%, spread Bund 78,6 pb (ANSA/Sole24Ore). BTP Lug-2036 IT0005706285 cedola 3,80% a 99,22</t>
  </si>
  <si>
    <t xml:space="preserve">YTM ETF obbligazionario EUR</t>
  </si>
  <si>
    <t xml:space="preserve">VERIFICATO: iShares Core EUR Corp Bond Acc IE00BF11F565, YTM 3,68%, dur. 4,46 (factsheet 27/7/2026)</t>
  </si>
  <si>
    <t xml:space="preserve">TER ETF</t>
  </si>
  <si>
    <t xml:space="preserve">VERIFICATO: 0,09%</t>
  </si>
  <si>
    <t xml:space="preserve">Rendimento ETF netto costi</t>
  </si>
  <si>
    <t xml:space="preserve">Imposta di bollo prodotti finanziari</t>
  </si>
  <si>
    <t xml:space="preserve">0,20% annuo, tetto 14.000 per societa</t>
  </si>
  <si>
    <t xml:space="preserve">ETF: tassazione differita? 1=SI 0=NO</t>
  </si>
  <si>
    <t xml:space="preserve">SI se immobilizzazione finanziaria al costo. DA VALIDARE col commercialista</t>
  </si>
  <si>
    <t xml:space="preserve">10. PARAMETRI DI CONFRONTO</t>
  </si>
  <si>
    <t xml:space="preserve">Tasso di reinvestimento flussi distribuiti</t>
  </si>
  <si>
    <t xml:space="preserve">Liquidita/obbligazionario breve, netto</t>
  </si>
  <si>
    <t xml:space="preserve">Tasso di sconto NPV (risk-adj. immobile)</t>
  </si>
  <si>
    <t xml:space="preserve">BTP 3,96% + premio illiquidita/rischio 4 pt</t>
  </si>
  <si>
    <t xml:space="preserve">11. SCENARIO E — BEST CASE (tutto va per il verso giusto)</t>
  </si>
  <si>
    <t xml:space="preserve">Sfitto best (mai un giorno vuoto)</t>
  </si>
  <si>
    <t xml:space="preserve">Conduttore blindato pre-rogito: occupante attuale garantito, sua collegata o terzo - mai perso in 10 anni</t>
  </si>
  <si>
    <t xml:space="preserve">Perdita attesa best (conduttore garantito)</t>
  </si>
  <si>
    <t xml:space="preserve">Fideiussione bancaria a prima richiesta: rischio credito azzerato</t>
  </si>
  <si>
    <t xml:space="preserve">IMU totale best (rendita bassa + area minima)</t>
  </si>
  <si>
    <t xml:space="preserve">Rendita ~11.000 (fascia bassa stima 13-17k) + area a valore minimo. DA VISURA</t>
  </si>
  <si>
    <t xml:space="preserve">Assicurazione + CAT NAT best</t>
  </si>
  <si>
    <t xml:space="preserve">Preventivo favorevole nonostante zona a rischio idraulico</t>
  </si>
  <si>
    <t xml:space="preserve">Manutenzione best (ordinaria sul conduttore)</t>
  </si>
  <si>
    <t xml:space="preserve">Contratto ben scritto: quota di ordinaria trasferita al conduttore ove lecito</t>
  </si>
  <si>
    <t xml:space="preserve">Property mgmt + amministrazione best</t>
  </si>
  <si>
    <t xml:space="preserve">Invariato: contabilita e adempimenti restano</t>
  </si>
  <si>
    <t xml:space="preserve">Crescita canone best (100% ISTAT)</t>
  </si>
  <si>
    <t xml:space="preserve">Adeguamento pieno pattuito (durata oltre i minimi di legge)</t>
  </si>
  <si>
    <t xml:space="preserve">Capex anno 5 best</t>
  </si>
  <si>
    <t xml:space="preserve">Copertura sana, nessun amianto (esito sopralluogo positivo)</t>
  </si>
  <si>
    <t xml:space="preserve">Capex anno 8 best</t>
  </si>
  <si>
    <t xml:space="preserve">Impianti in ordine per tutto il decennio</t>
  </si>
  <si>
    <t xml:space="preserve">Costi rilocazione best</t>
  </si>
  <si>
    <t xml:space="preserve">Stesso conduttore per 10 anni: zero turnover</t>
  </si>
  <si>
    <t xml:space="preserve">Rivalutazione annua valore immobile best</t>
  </si>
  <si>
    <t xml:space="preserve">Nominale +1,5%/anno (= circa -0,5% reale: ottimista ma possibile)</t>
  </si>
  <si>
    <t xml:space="preserve">Sconto di realizzo best</t>
  </si>
  <si>
    <t xml:space="preserve">Vendita al valore pieno di mercato, compratore diretto</t>
  </si>
  <si>
    <t xml:space="preserve">Valore lordo 2036 best</t>
  </si>
  <si>
    <t xml:space="preserve">Prezzo netto di realizzo best</t>
  </si>
  <si>
    <t xml:space="preserve">Plusvalenza fiscale best</t>
  </si>
  <si>
    <t xml:space="preserve">Stesso costo fiscale residuo del base</t>
  </si>
  <si>
    <t xml:space="preserve">IRES su plusvalenza best</t>
  </si>
  <si>
    <t xml:space="preserve">INCASSO NETTO VENDITA BEST</t>
  </si>
  <si>
    <t xml:space="preserve">SCENARIO A — Immobile acquistato dalla procedura, 100% capitale proprio</t>
  </si>
  <si>
    <t xml:space="preserve">Prezzo 360k (target asta), canone di mercato 42k, sfitto 9%. Dismissione a fine 2036 al valore ordinato. Importi in EUR.</t>
  </si>
  <si>
    <t xml:space="preserve">ANNO</t>
  </si>
  <si>
    <t xml:space="preserve">Canone potenziale</t>
  </si>
  <si>
    <t xml:space="preserve">(-) Sfitto</t>
  </si>
  <si>
    <t xml:space="preserve">(-) Perdita attesa rischio credito</t>
  </si>
  <si>
    <t xml:space="preserve">RICAVI NETTI</t>
  </si>
  <si>
    <t xml:space="preserve">    (-) IMU fabbricato + area</t>
  </si>
  <si>
    <t xml:space="preserve">    (-) Assicurazione + CAT NAT</t>
  </si>
  <si>
    <t xml:space="preserve">    (-) Manutenzione ordinaria (riserva)</t>
  </si>
  <si>
    <t xml:space="preserve">    (-) Property mgmt + amministrazione</t>
  </si>
  <si>
    <t xml:space="preserve">    (-) Registro contratto</t>
  </si>
  <si>
    <t xml:space="preserve">TOTALE COSTI OPERATIVI</t>
  </si>
  <si>
    <t xml:space="preserve">NOI — Reddito operativo netto</t>
  </si>
  <si>
    <t xml:space="preserve">    (-) Ammortamento (anno 1 al 50%)</t>
  </si>
  <si>
    <t xml:space="preserve">EBIT</t>
  </si>
  <si>
    <t xml:space="preserve">FISCALITA</t>
  </si>
  <si>
    <t xml:space="preserve">    Imponibile IRES (IMU deducibile)</t>
  </si>
  <si>
    <t xml:space="preserve">    (-) IRES 24%</t>
  </si>
  <si>
    <t xml:space="preserve">    Base IRAP (IMU indeducibile)</t>
  </si>
  <si>
    <t xml:space="preserve">    (-) IRAP 3,9%</t>
  </si>
  <si>
    <t xml:space="preserve">UTILE NETTO</t>
  </si>
  <si>
    <t xml:space="preserve">DA UTILE A CASSA</t>
  </si>
  <si>
    <t xml:space="preserve">    (+) Ammortamento (non monetario)</t>
  </si>
  <si>
    <t xml:space="preserve">    (-) Capex straordinario</t>
  </si>
  <si>
    <t xml:space="preserve">    (-) Costi di rilocazione</t>
  </si>
  <si>
    <t xml:space="preserve">FREE CASH FLOW OPERATIVO</t>
  </si>
  <si>
    <t xml:space="preserve">    Investimento iniziale</t>
  </si>
  <si>
    <t xml:space="preserve">    Incasso netto dalla vendita (anno 10)</t>
  </si>
  <si>
    <t xml:space="preserve">FLUSSO DI CASSA NETTO TOTALE</t>
  </si>
  <si>
    <t xml:space="preserve">Flusso cumulato</t>
  </si>
  <si>
    <t xml:space="preserve">Montante flussi reinvestiti</t>
  </si>
  <si>
    <t xml:space="preserve">RICCHEZZA FINALE ANNO 10</t>
  </si>
  <si>
    <t xml:space="preserve">METRICHE DI SINTESI</t>
  </si>
  <si>
    <t xml:space="preserve">IRR / TIR sul capitale investito</t>
  </si>
  <si>
    <t xml:space="preserve">MOIC (multiplo sul capitale)</t>
  </si>
  <si>
    <t xml:space="preserve">Rendimento annuo composto equivalente</t>
  </si>
  <si>
    <t xml:space="preserve">Cash-on-cash yield anno 1</t>
  </si>
  <si>
    <t xml:space="preserve">Cash-on-cash yield medio anni 1-10</t>
  </si>
  <si>
    <t xml:space="preserve">SCENARIO B — Immobile con 50% mutuo ipotecario (4,05%)</t>
  </si>
  <si>
    <t xml:space="preserve">La liquidita non impiegata nell'equity e investita nell'ETF: stesso capitale degli altri scenari. Leva NEGATIVA: costo debito &gt; rendimento operativo.</t>
  </si>
  <si>
    <t xml:space="preserve">PIANO DI AMMORTAMENTO DEL MUTUO</t>
  </si>
  <si>
    <t xml:space="preserve">    Debito residuo a inizio anno</t>
  </si>
  <si>
    <t xml:space="preserve">    (-) Interessi passivi</t>
  </si>
  <si>
    <t xml:space="preserve">    (-) Quota capitale rimborsata</t>
  </si>
  <si>
    <t xml:space="preserve">    Servizio del debito totale</t>
  </si>
  <si>
    <t xml:space="preserve">Risultato ante imposte</t>
  </si>
  <si>
    <t xml:space="preserve">    Imponibile IRES (interessi ded. se switch=1)</t>
  </si>
  <si>
    <t xml:space="preserve">    Base IRAP (IMU e interessi indeducibili)</t>
  </si>
  <si>
    <t xml:space="preserve">    (-) Quota capitale del mutuo</t>
  </si>
  <si>
    <t xml:space="preserve">FCF OPERATIVO IMMOBILE (post debito)</t>
  </si>
  <si>
    <t xml:space="preserve">LIQUIDITA RESIDUA IN ETF (normalizzazione capitale)</t>
  </si>
  <si>
    <t xml:space="preserve">    Valore del deposito ETF</t>
  </si>
  <si>
    <t xml:space="preserve">    (-) IRES su plusvalenza ETF (anno 10)</t>
  </si>
  <si>
    <t xml:space="preserve">    Incasso netto ETF a fine anno 10</t>
  </si>
  <si>
    <t xml:space="preserve">    Investimento iniziale totale (equity + ETF)</t>
  </si>
  <si>
    <t xml:space="preserve">    Incasso netto vendita immobile (anno 10)</t>
  </si>
  <si>
    <t xml:space="preserve">DSCR medio (NOI / servizio debito)</t>
  </si>
  <si>
    <t xml:space="preserve">Interessi totali pagati in 10 anni</t>
  </si>
  <si>
    <t xml:space="preserve">SCENARIO E — IMMOBILE BEST CASE (zero sfitto, zero rischio credito, zero capex, rivalutazione +1,5%)</t>
  </si>
  <si>
    <t xml:space="preserve">Stesso prezzo e canone del base, ma tutto va per il verso giusto. Parametri nella sezione 11 delle Assunzioni.</t>
  </si>
  <si>
    <t xml:space="preserve">(-) Sfitto (best: zero)</t>
  </si>
  <si>
    <t xml:space="preserve">(-) Perdita attesa (best: zero)</t>
  </si>
  <si>
    <t xml:space="preserve">    (-) IMU best</t>
  </si>
  <si>
    <t xml:space="preserve">    (-) Manutenzione</t>
  </si>
  <si>
    <t xml:space="preserve">    (-) IRAP 3,9% (IMU indeducibile)</t>
  </si>
  <si>
    <t xml:space="preserve">    (-) Capex best (anni 5 e 8)</t>
  </si>
  <si>
    <t xml:space="preserve">    (-) Rilocazione best (anno 6)</t>
  </si>
  <si>
    <t xml:space="preserve">    Incasso netto vendita best (anno 10)</t>
  </si>
  <si>
    <t xml:space="preserve">NPV al tasso di sconto risk-adjusted</t>
  </si>
  <si>
    <t xml:space="preserve">SCENARIO C — BTP Lug-2036 (3,96% lordo) con cedole</t>
  </si>
  <si>
    <t xml:space="preserve">SRL lordista ex D.Lgs. 239/1996: cedole a IRES 24%, niente 12,5%. Bollo 0,20%. Cedole reinvestite al tasso di reinvestimento.</t>
  </si>
  <si>
    <t xml:space="preserve">    Capitale investito (nominale)</t>
  </si>
  <si>
    <t xml:space="preserve">    Cedola lorda annua</t>
  </si>
  <si>
    <t xml:space="preserve">    (-) IRES 24% sulle cedole</t>
  </si>
  <si>
    <t xml:space="preserve">    (-) Imposta di bollo 0,20%</t>
  </si>
  <si>
    <t xml:space="preserve">FLUSSO CEDOLARE NETTO</t>
  </si>
  <si>
    <t xml:space="preserve">    Rimborso alla pari (anno 10)</t>
  </si>
  <si>
    <t xml:space="preserve">Montante cedole reinvestite</t>
  </si>
  <si>
    <t xml:space="preserve">Rendimento netto annuo (cedola)</t>
  </si>
  <si>
    <t xml:space="preserve">SCENARIO D — ETF obbligazionario EUR accumulazione (YTM 3,68%, TER 0,09%)</t>
  </si>
  <si>
    <t xml:space="preserve">iShares Core EUR Corp Bond Acc IE00BF11F565. Se immobilizzazione finanziaria: IRES 24% differita al realizzo 2036.</t>
  </si>
  <si>
    <t xml:space="preserve">    Valore del deposito a fine anno</t>
  </si>
  <si>
    <t xml:space="preserve">        di cui: rendimento capitalizzato</t>
  </si>
  <si>
    <t xml:space="preserve">        di cui: (-) imposta di bollo</t>
  </si>
  <si>
    <t xml:space="preserve">    Plusvalenza lorda a fine anno 10</t>
  </si>
  <si>
    <t xml:space="preserve">    (-) IRES 24% (differita al realizzo)</t>
  </si>
  <si>
    <t xml:space="preserve">Beneficio da differimento fiscale</t>
  </si>
  <si>
    <t xml:space="preserve">SOLVER — PREZZO E CANONE DI PAREGGIO CONTRO IL BTP</t>
  </si>
  <si>
    <t xml:space="preserve">Due domande: (1) a che prezzo/canone l'immobile EGUAGLIA il BTP netto? (2) a che prezzo/canone lo batte del premio di rischio che pretendi?</t>
  </si>
  <si>
    <t xml:space="preserve">A. COSTRUZIONE DELLO SPREAD DI RISCHIO (modificabile)</t>
  </si>
  <si>
    <t xml:space="preserve">Illiquidita (8-12+ mesi per vendere)</t>
  </si>
  <si>
    <t xml:space="preserve">Premio di illiquidita real estate: letteratura 100-200 pb</t>
  </si>
  <si>
    <t xml:space="preserve">Incertezza dei flussi / rischio conduttore</t>
  </si>
  <si>
    <t xml:space="preserve">Il canone dipende da un inquilino; la cedola no</t>
  </si>
  <si>
    <t xml:space="preserve">Deperimento e obsolescenza (EPBD, 7 m)</t>
  </si>
  <si>
    <t xml:space="preserve">Non residenziali: soglie UE 16% al 2030, 26% al 2033</t>
  </si>
  <si>
    <t xml:space="preserve">Tempo e costo di gestione</t>
  </si>
  <si>
    <t xml:space="preserve">Ore, telefonate, adempimenti: hanno un prezzo</t>
  </si>
  <si>
    <t xml:space="preserve">Eventi straordinari (capex, fisici)</t>
  </si>
  <si>
    <t xml:space="preserve">Copertura, sisma zona 2, rischio idraulico</t>
  </si>
  <si>
    <t xml:space="preserve">SPREAD TOTALE RICHIESTO</t>
  </si>
  <si>
    <t xml:space="preserve">Rendimento BTP netto SRL (dal foglio C)</t>
  </si>
  <si>
    <t xml:space="preserve">TARGET CON SPREAD (BTP + rischio)</t>
  </si>
  <si>
    <t xml:space="preserve">B. RISULTATI — pareggi calcolati per interpolazione sulle griglie in basso</t>
  </si>
  <si>
    <t xml:space="preserve">Si aggiornano se modifichi lo spread. Se invece cambi canone, IMU o altre assunzioni, le griglie vanno rigenerate (v. nota).</t>
  </si>
  <si>
    <t xml:space="preserve">Pareggio con BTP</t>
  </si>
  <si>
    <t xml:space="preserve">Target BTP + spread</t>
  </si>
  <si>
    <t xml:space="preserve">BASE — prezzo di acquisto (canone 42.000)</t>
  </si>
  <si>
    <t xml:space="preserve">BASE — canone necessario (prezzo 360.000)</t>
  </si>
  <si>
    <t xml:space="preserve">BEST — prezzo di acquisto (canone 42.000)</t>
  </si>
  <si>
    <t xml:space="preserve">BEST — canone necessario (prezzo 360.000)</t>
  </si>
  <si>
    <t xml:space="preserve">Verifica indipendente (risolti per iterazione al 12/08/2026):</t>
  </si>
  <si>
    <t xml:space="preserve">BASE: prezzo 284.492 / 198.201 — canone 52.860 / 74.889</t>
  </si>
  <si>
    <t xml:space="preserve">BEST: prezzo 513.983 / 360.578 — canone 23.548 / 41.897</t>
  </si>
  <si>
    <t xml:space="preserve">C. GRIGLIA PREZZO -&gt; RENDIMENTO NETTO ANNUO (canone 42.000)</t>
  </si>
  <si>
    <t xml:space="preserve">Prezzo</t>
  </si>
  <si>
    <t xml:space="preserve">CAGR base</t>
  </si>
  <si>
    <t xml:space="preserve">CAGR best</t>
  </si>
  <si>
    <t xml:space="preserve">D. GRIGLIA CANONE -&gt; RENDIMENTO NETTO ANNUO (prezzo 360.000)</t>
  </si>
  <si>
    <t xml:space="preserve">Canone</t>
  </si>
  <si>
    <t xml:space="preserve">Nota metodologica: le griglie sono precalcolate con il motore del modello (assunzioni correnti dei due scenari). I pareggi in B usano</t>
  </si>
  <si>
    <t xml:space="preserve">interpolazione lineare sulle griglie: precisione ~0,1% entro il passo. Se modifichi canone base, IMU, capex ecc., rigenera le griglie o usa</t>
  </si>
  <si>
    <t xml:space="preserve">Ricerca obiettivo: imposta [foglio A o E, cella CAGR] al valore target cambiando [Assunzioni!B5 (prezzo) o B8 (canone)].</t>
  </si>
  <si>
    <t xml:space="preserve">SENSITIVITA E STRESS TEST — DATI VERIFICATI</t>
  </si>
  <si>
    <t xml:space="preserve">Rendimento netto POST-IMPOSTE a regime (ammortamento pieno, no capex), al variare di prezzo e canone.</t>
  </si>
  <si>
    <t xml:space="preserve">Canone annuo --&gt;</t>
  </si>
  <si>
    <t xml:space="preserve">Prezzo di acquisto (giu)</t>
  </si>
  <si>
    <t xml:space="preserve">Colonna centrale (42.000) = canone di mercato verificato. Nota: il rendimento cash NON include il recupero dello sconto d'asta alla vendita, che entra solo nell'IRR.</t>
  </si>
  <si>
    <t xml:space="preserve">CONFRONTO DIRETTO — CAGR netto a 10 anni per la SRL</t>
  </si>
  <si>
    <t xml:space="preserve">BTP 3,96% — netto annuo (IRES 24% + bollo)</t>
  </si>
  <si>
    <t xml:space="preserve">ETF accumulazione — CAGR netto</t>
  </si>
  <si>
    <t xml:space="preserve">Immobile A (equity, 360k) — CAGR netto</t>
  </si>
  <si>
    <t xml:space="preserve">Immobile B (leva) — CAGR netto</t>
  </si>
  <si>
    <t xml:space="preserve">STRESS TEST — modifica la cella indicata in Assunzioni</t>
  </si>
  <si>
    <t xml:space="preserve">Scenario avverso</t>
  </si>
  <si>
    <t xml:space="preserve">Cella</t>
  </si>
  <si>
    <t xml:space="preserve">Come simularlo</t>
  </si>
  <si>
    <t xml:space="preserve">Sfitto pesante (vuoto iniziale lungo)</t>
  </si>
  <si>
    <t xml:space="preserve">Assunzioni!B12</t>
  </si>
  <si>
    <t xml:space="preserve">Porta lo sfitto dal 9% al 12-16%</t>
  </si>
  <si>
    <t xml:space="preserve">Canone sotto mercato al ribasso</t>
  </si>
  <si>
    <t xml:space="preserve">Assunzioni!B8</t>
  </si>
  <si>
    <t xml:space="preserve">Abbassa il canone da 42.000 a 36.000</t>
  </si>
  <si>
    <t xml:space="preserve">Rendita catastale alta (visura)</t>
  </si>
  <si>
    <t xml:space="preserve">Assunzioni!B26</t>
  </si>
  <si>
    <t xml:space="preserve">Porta l'IMU fabbricato da 10.850 a 13.500</t>
  </si>
  <si>
    <t xml:space="preserve">Amianto confermato in copertura</t>
  </si>
  <si>
    <t xml:space="preserve">Assunzioni!B34</t>
  </si>
  <si>
    <t xml:space="preserve">Alza il capex anno 5 da 30.000 a 60.000</t>
  </si>
  <si>
    <t xml:space="preserve">Conduttore fragile</t>
  </si>
  <si>
    <t xml:space="preserve">Assunzioni!B39</t>
  </si>
  <si>
    <t xml:space="preserve">Alza la PD dal 2,3% al 4,4% (CRIF pessimistico)</t>
  </si>
  <si>
    <t xml:space="preserve">Mercato in calo reale (EPBD)</t>
  </si>
  <si>
    <t xml:space="preserve">Assunzioni!B13</t>
  </si>
  <si>
    <t xml:space="preserve">Imposta crescita valore a -1%</t>
  </si>
  <si>
    <t xml:space="preserve">Vendita difficile nel 2036</t>
  </si>
  <si>
    <t xml:space="preserve">Assunzioni!B67</t>
  </si>
  <si>
    <t xml:space="preserve">Alza lo sconto di realizzo dal 5% al 12,5% (o 33%)</t>
  </si>
  <si>
    <t xml:space="preserve">Valore ordinato sovrastimato</t>
  </si>
  <si>
    <t xml:space="preserve">Assunzioni!B6</t>
  </si>
  <si>
    <t xml:space="preserve">Abbassa il valore da 450.000 a 400.000</t>
  </si>
  <si>
    <t xml:space="preserve">Prezzo di aggiudicazione diverso</t>
  </si>
  <si>
    <t xml:space="preserve">Assunzioni!B5</t>
  </si>
  <si>
    <t xml:space="preserve">Prova 300.000 (asta ribassata) o 450.000 (trattativa piena)</t>
  </si>
  <si>
    <t xml:space="preserve">Holding NON immobiliare di gestione</t>
  </si>
  <si>
    <t xml:space="preserve">Assunzioni!B61</t>
  </si>
  <si>
    <t xml:space="preserve">Switch a 0: interessi indeducibili IRES</t>
  </si>
  <si>
    <t xml:space="preserve">ETF in attivo circolante</t>
  </si>
  <si>
    <t xml:space="preserve">Assunzioni!B82</t>
  </si>
  <si>
    <t xml:space="preserve">Switch a 0: perde il differimento</t>
  </si>
  <si>
    <t xml:space="preserve">NOTE METODOLOGICHE, CORREZIONI E FONTI VERIFICATE (10 AGOSTO 2026)</t>
  </si>
  <si>
    <t xml:space="preserve">LE CORREZIONI CHE HANNO CAMBIATO IL RISULTATO (v2 -&gt; v3)</t>
  </si>
  <si>
    <t xml:space="preserve">1) CANONE: da 60.000 a 42.000 (-30%). Comparabili reali di affitto nel comune, agosto 2026: 27-48 EUR/mq/anno sul coperto. Il 60k presupponeva la fascia di un capannone nuovo classe A a 8,50 m.</t>
  </si>
  <si>
    <t xml:space="preserve">2) PREZZO E CANALE: il venditore e in procedura concorsuale (dichiarata nel 2026). Il prezzo base diventa 360.000 (canale procedura), separato dal valore di mercato ordinato (450.000) che e la base del valore terminale: comprando a sconto, il recupero avviene alla vendita ed e tassato come plusvalenza.</t>
  </si>
  <si>
    <t xml:space="preserve">2-bis) CONDUTTORE: l'immobile e occupato dal venditore, che puo restare come inquilino - direttamente o tramite una societa collegata che ne prosegua l'attivita. Condizioni minime: fideiussione bancaria a prima richiesta 6-12 mensilita, autorizzazione degli organi della procedura, canoni anticipati. Il best case (sfitto 0%) presuppone questo, o un terzo blindato prima del rogito. Sale &amp; lease-back privato FUORI dalla procedura: da evitare (revocatoria art. 166 CCII).</t>
  </si>
  <si>
    <t xml:space="preserve">3) SFITTO: dal 6% al 9%. Vacancy logistica prime 4,25% (Colliers Q4-2025) ma il secondario a 7 m con offerta locale abbondante sta peggio.</t>
  </si>
  <si>
    <t xml:space="preserve">4) ASSICURAZIONE: da 5.000 a 7.000. CAT NAT obbligatoria e zona a rischio idraulico: il premio segue il rischio.</t>
  </si>
  <si>
    <t xml:space="preserve">5) ALTERNATIVE PIU FORTI: BTP 3,96% (era 3,88%) e soprattutto ETF YTM 3,68% con TER 0,09% (era 3,20%/0,15%): l'asticella che l'immobile deve superare si e alzata.</t>
  </si>
  <si>
    <t xml:space="preserve">6) AMMORTAMENTO: primo anno al 50% (art. 102 TUIR) - fondo decennale = 9,5 quote, non 10. Recapture leggermente inferiore, IRES anno 1 leggermente superiore.</t>
  </si>
  <si>
    <t xml:space="preserve">LE TRE INSIDIE FISCALI (invariate e confermate)</t>
  </si>
  <si>
    <t xml:space="preserve">1) BTP in SRL: lordista ex D.Lgs. 239/1996 - IRES 24%, niente 12,5%.</t>
  </si>
  <si>
    <t xml:space="preserve">2) ETF in SRL: niente 26%; IRES 24% al realizzo. Il vantaggio e il DIFFERIMENTO se iscritto tra le immobilizzazioni finanziarie al costo.</t>
  </si>
  <si>
    <t xml:space="preserve">3) Vendita immobile: recapture degli ammortamenti + recupero dello sconto d'asta = plusvalenza tassata IRES 24%, NON rateizzabile dal 2026 (L. 199/2025).</t>
  </si>
  <si>
    <t xml:space="preserve">ASSUNZIONI DA VALIDARE COL COMMERCIALISTA</t>
  </si>
  <si>
    <t xml:space="preserve">- Qualifica di 'immobiliare di gestione' (art. 1 c. 36 L. 244/2007) per la deducibilita piena degli interessi: switch Assunzioni.</t>
  </si>
  <si>
    <t xml:space="preserve">- Classificazione ETF: immobilizzazione finanziaria vs circolante: switch Assunzioni.</t>
  </si>
  <si>
    <t xml:space="preserve">- Scorporo terreno 30% confermato per destinazione oggettiva industriale anche se locato (circ. 1/E e 11/E 2007).</t>
  </si>
  <si>
    <t xml:space="preserve">- Aliquota ammortamento 3% confermata (DM 31/12/1988; il 6% e solo grande distribuzione, Cass. 4312/2021).</t>
  </si>
  <si>
    <t xml:space="preserve">- Categoria catastale da visura: se immobile-patrimonio ex art. 90 TUIR, il modello va rifatto (niente ammortamento).</t>
  </si>
  <si>
    <t xml:space="preserve">I 5 DATI DA REPERIRE OFFLINE (con impatto)</t>
  </si>
  <si>
    <t xml:space="preserve">1. RENDITA CATASTALE (visura): +/-3.000/anno di IMU = +/-25.000 di VAN. Il singolo dato piu importante.</t>
  </si>
  <si>
    <t xml:space="preserve">2. VALORE OMI D2 PRODUTTIVO ufficiale 2 sem 2025 (portale AdE/Geopoi): +/-80.000 sul valore ordinato.</t>
  </si>
  <si>
    <t xml:space="preserve">3. SOPRALLUOGO COPERTURA + AMIANTO: -15.000/-40.000 una tantum; puo mangiarsi lo sconto d'asta.</t>
  </si>
  <si>
    <t xml:space="preserve">4. PREVENTIVO BROKER CAT NAT in zona a rischio idraulico: +/-2-3.000/anno.</t>
  </si>
  <si>
    <t xml:space="preserve">5. NATURA E MODALITA DELLA VENDITA nella procedura concorsuale (il professionista della procedura e il giudice delegato): determina canale, tempi e prezzo base d'asta. E la variabile decisionale n.1.</t>
  </si>
  <si>
    <t xml:space="preserve">FONTI VERIFICATE</t>
  </si>
  <si>
    <t xml:space="preserve">- BTP decennale 3,96%, spread Bund 78,6 pb, 10 agosto 2026 (ANSA / Il Sole 24 Ore Radiocor / SoldiOnline). BTP Lug-2036 IT0005706285 cedola 3,80% a 99,22.</t>
  </si>
  <si>
    <t xml:space="preserve">- iShares Core EUR Corp Bond UCITS ETF Acc IE00BF11F565: YTM 3,68%, duration 4,46, TER 0,09%, AUM ~3,7 mld (factsheet BlackRock 27/07/2026).</t>
  </si>
  <si>
    <t xml:space="preserve">- Comparabili nel comune, agosto 2026: vendita mediana asking 500-650 EUR/mq; affitti 27-48 EUR/mq/anno (portali immobiliari).</t>
  </si>
  <si>
    <t xml:space="preserve">- Sconto d'asta: 89% aggiudicazioni sotto stima, media 66% del valore CTU = -33,5% (studio Associazione T6, Trib. Firenze).</t>
  </si>
  <si>
    <t xml:space="preserve">- IMU comunale cat. D 1,06% (delibera comunale). Moltiplicatore 65, rivalutazione 5%.</t>
  </si>
  <si>
    <t xml:space="preserve">- Vacancy logistica Italia 4,25% (Colliers, Logistics Market Snapshot Q4 2025); Grade A = 88% del take-up.</t>
  </si>
  <si>
    <t xml:space="preserve">- Tassi mutui imprese con ipoteca: 4,05% fisso / 4,08% variabile (Unimpresa su dati MEF, 1 trim. 2026).</t>
  </si>
  <si>
    <t xml:space="preserve">- Inflazione: Banca d'Italia (giu 2026) IPCA 3,1% / 2,0% / 1,9% (2026-2028).</t>
  </si>
  <si>
    <t xml:space="preserve">- Default imprese: Nord-Est 2,3% nel 2026 (ABI-Cerved); CRIF pessimistico 4,4%.</t>
  </si>
  <si>
    <t xml:space="preserve">- EPBD dir. UE 2024/1275: non residenziali sotto la soglia del 16% peggiori entro 2030 e 26% entro 2033; fotovoltaico su non residenziali &gt;250 mq.</t>
  </si>
  <si>
    <t xml:space="preserve">- Bonifica amianto: 15-60 EUR/mq (grandi coperture 9-16 + conferimento) - prezzari/Instapro 2026.</t>
  </si>
  <si>
    <t xml:space="preserve">- Procedura: procedura concorsuale dichiarata nel 2026 (portale delle procedure).</t>
  </si>
  <si>
    <t xml:space="preserve">Modello v3 costruito il 12 agosto 2026 con dati verificati al 10/08/2026. Stime dichiarate come tali; nessun numero inventato.</t>
  </si>
  <si>
    <t xml:space="preserve">CASO ANONIMIZZATO: indirizzo, dati catastali, nomi di persone e societa sono stati rimossi o sostituiti con nomi di fantasia. Ogni riferimento a societa reali e casuale. I dati di mercato (OMI, BTP, ETF, tassi, statistiche) sono reali alla data indicata.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</si>
</sst>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;\(0.0%\);\-"/>
    <numFmt numFmtId="167" formatCode="0.00\x"/>
    <numFmt numFmtId="168" formatCode="0"/>
    <numFmt numFmtId="169" formatCode="#,##0"/>
    <numFmt numFmtId="170" formatCode="0.00%;\(0.00%\)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6"/>
      <color rgb="FF1F3864"/>
      <name val="Arial"/>
      <family val="0"/>
      <charset val="1"/>
    </font>
    <font>
      <sz val="10"/>
      <color rgb="FF008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1F3864"/>
        <bgColor rgb="FF2E4A63"/>
      </patternFill>
    </fill>
    <fill>
      <patternFill patternType="solid">
        <fgColor rgb="FF2E4A63"/>
        <bgColor rgb="FF1F3864"/>
      </patternFill>
    </fill>
    <fill>
      <patternFill patternType="solid">
        <fgColor rgb="FFDDEBF7"/>
        <bgColor rgb="FFD9E2F3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DDEBF7"/>
      </patternFill>
    </fill>
    <fill>
      <patternFill patternType="solid">
        <fgColor rgb="FFD9E2F3"/>
        <bgColor rgb="FFDDEBF7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40404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2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2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0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8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8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7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6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7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D9E2F3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B3B3B3"/>
      <rgbColor rgb="FF1F3864"/>
      <rgbColor rgb="FF339966"/>
      <rgbColor rgb="FF003300"/>
      <rgbColor rgb="FF333300"/>
      <rgbColor rgb="FF993300"/>
      <rgbColor rgb="FF993366"/>
      <rgbColor rgb="FF2E4A63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Ricchezza finale a 10 anni (EUR)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Dashboard!$B$7:$F$7</c:f>
              <c:strCache>
                <c:ptCount val="5"/>
                <c:pt idx="0">
                  <c:v>A - Immobile
100% equity</c:v>
                </c:pt>
                <c:pt idx="1">
                  <c:v>B - Immobile
50% leva + ETF</c:v>
                </c:pt>
                <c:pt idx="2">
                  <c:v>C - BTP
3,96% cedole</c:v>
                </c:pt>
                <c:pt idx="3">
                  <c:v>D - ETF obbl.
accumulazione</c:v>
                </c:pt>
                <c:pt idx="4">
                  <c:v>E - Immobile
BEST case</c:v>
                </c:pt>
              </c:strCache>
            </c:strRef>
          </c:cat>
          <c:val>
            <c:numRef>
              <c:f>Dashboard!$B$11:$F$11</c:f>
              <c:numCache>
                <c:formatCode>#,##0;\(#,##0\);\-</c:formatCode>
                <c:ptCount val="5"/>
                <c:pt idx="0">
                  <c:v>423247.464610102</c:v>
                </c:pt>
                <c:pt idx="1">
                  <c:v>412933.780037079</c:v>
                </c:pt>
                <c:pt idx="2">
                  <c:v>506712.440533269</c:v>
                </c:pt>
                <c:pt idx="3">
                  <c:v>501295.782311652</c:v>
                </c:pt>
                <c:pt idx="4">
                  <c:v>676262.251383336</c:v>
                </c:pt>
              </c:numCache>
            </c:numRef>
          </c:val>
        </c:ser>
        <c:gapWidth val="150"/>
        <c:overlap val="0"/>
        <c:axId val="75168972"/>
        <c:axId val="13437787"/>
      </c:barChart>
      <c:catAx>
        <c:axId val="751689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437787"/>
        <c:crosses val="autoZero"/>
        <c:auto val="1"/>
        <c:lblAlgn val="ctr"/>
        <c:lblOffset val="100"/>
        <c:noMultiLvlLbl val="0"/>
      </c:catAx>
      <c:valAx>
        <c:axId val="1343778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16897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Ricchezza cumulata nel tempo (EUR)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Dashboard!A38</c:f>
              <c:strCache>
                <c:ptCount val="1"/>
                <c:pt idx="0">
                  <c:v>A - Immobile equity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Dashboard!$B$37:$L$37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Dashboard!$B$38:$L$38</c:f>
              <c:numCache>
                <c:formatCode>#,##0;\(#,##0\);\-</c:formatCode>
                <c:ptCount val="11"/>
                <c:pt idx="0">
                  <c:v>-385400</c:v>
                </c:pt>
                <c:pt idx="1">
                  <c:v>-377731.5342325</c:v>
                </c:pt>
                <c:pt idx="2">
                  <c:v>-368760.9141115</c:v>
                </c:pt>
                <c:pt idx="3">
                  <c:v>-359600.822398698</c:v>
                </c:pt>
                <c:pt idx="4">
                  <c:v>-350249.556921216</c:v>
                </c:pt>
                <c:pt idx="5">
                  <c:v>-370705.412771604</c:v>
                </c:pt>
                <c:pt idx="6">
                  <c:v>-370966.682722781</c:v>
                </c:pt>
                <c:pt idx="7">
                  <c:v>-361031.657658319</c:v>
                </c:pt>
                <c:pt idx="8">
                  <c:v>-375898.627018485</c:v>
                </c:pt>
                <c:pt idx="9">
                  <c:v>-365565.87926246</c:v>
                </c:pt>
                <c:pt idx="10">
                  <c:v>33203.7456528313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Dashboard!A39</c:f>
              <c:strCache>
                <c:ptCount val="1"/>
                <c:pt idx="0">
                  <c:v>B - Immobile leva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Dashboard!$B$37:$L$37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Dashboard!$B$39:$L$39</c:f>
              <c:numCache>
                <c:formatCode>#,##0;\(#,##0\);\-</c:formatCode>
                <c:ptCount val="11"/>
                <c:pt idx="0">
                  <c:v>-385400</c:v>
                </c:pt>
                <c:pt idx="1">
                  <c:v>-398600.336815384</c:v>
                </c:pt>
                <c:pt idx="2">
                  <c:v>-411394.623237268</c:v>
                </c:pt>
                <c:pt idx="3">
                  <c:v>-423936.368466749</c:v>
                </c:pt>
                <c:pt idx="4">
                  <c:v>-436223.303726942</c:v>
                </c:pt>
                <c:pt idx="5">
                  <c:v>-478253.156596127</c:v>
                </c:pt>
                <c:pt idx="6">
                  <c:v>-500023.651560815</c:v>
                </c:pt>
                <c:pt idx="7">
                  <c:v>-511552.239089193</c:v>
                </c:pt>
                <c:pt idx="8">
                  <c:v>-548067.314907353</c:v>
                </c:pt>
                <c:pt idx="9">
                  <c:v>-559574.639476012</c:v>
                </c:pt>
                <c:pt idx="10">
                  <c:v>48747.5806235281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Dashboard!A40</c:f>
              <c:strCache>
                <c:ptCount val="1"/>
                <c:pt idx="0">
                  <c:v>C - BTP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Dashboard!$B$37:$L$37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Dashboard!$B$40:$L$40</c:f>
              <c:numCache>
                <c:formatCode>#,##0;\(#,##0\);\-</c:formatCode>
                <c:ptCount val="11"/>
                <c:pt idx="0">
                  <c:v>-385400</c:v>
                </c:pt>
                <c:pt idx="1">
                  <c:v>-374571.8016</c:v>
                </c:pt>
                <c:pt idx="2">
                  <c:v>-363743.6032</c:v>
                </c:pt>
                <c:pt idx="3">
                  <c:v>-352915.4048</c:v>
                </c:pt>
                <c:pt idx="4">
                  <c:v>-342087.2064</c:v>
                </c:pt>
                <c:pt idx="5">
                  <c:v>-331259.008</c:v>
                </c:pt>
                <c:pt idx="6">
                  <c:v>-320430.8096</c:v>
                </c:pt>
                <c:pt idx="7">
                  <c:v>-309602.6112</c:v>
                </c:pt>
                <c:pt idx="8">
                  <c:v>-298774.4128</c:v>
                </c:pt>
                <c:pt idx="9">
                  <c:v>-287946.2144</c:v>
                </c:pt>
                <c:pt idx="10">
                  <c:v>108281.984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Dashboard!A41</c:f>
              <c:strCache>
                <c:ptCount val="1"/>
                <c:pt idx="0">
                  <c:v>D - ETF accumulazione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Dashboard!$B$37:$L$37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Dashboard!$B$41:$L$41</c:f>
              <c:numCache>
                <c:formatCode>#,##0;\(#,##0\);\-</c:formatCode>
                <c:ptCount val="11"/>
                <c:pt idx="0">
                  <c:v>-385400</c:v>
                </c:pt>
                <c:pt idx="1">
                  <c:v>-385400</c:v>
                </c:pt>
                <c:pt idx="2">
                  <c:v>-385400</c:v>
                </c:pt>
                <c:pt idx="3">
                  <c:v>-385400</c:v>
                </c:pt>
                <c:pt idx="4">
                  <c:v>-385400</c:v>
                </c:pt>
                <c:pt idx="5">
                  <c:v>-385400</c:v>
                </c:pt>
                <c:pt idx="6">
                  <c:v>-385400</c:v>
                </c:pt>
                <c:pt idx="7">
                  <c:v>-385400</c:v>
                </c:pt>
                <c:pt idx="8">
                  <c:v>-385400</c:v>
                </c:pt>
                <c:pt idx="9">
                  <c:v>-385400</c:v>
                </c:pt>
                <c:pt idx="10">
                  <c:v>115895.782311652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Dashboard!A42</c:f>
              <c:strCache>
                <c:ptCount val="1"/>
                <c:pt idx="0">
                  <c:v>E - Best case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Dashboard!$B$37:$L$37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Dashboard!$B$42:$L$42</c:f>
              <c:numCache>
                <c:formatCode>#,##0;\(#,##0\);\-</c:formatCode>
                <c:ptCount val="11"/>
                <c:pt idx="0">
                  <c:v>-385400</c:v>
                </c:pt>
                <c:pt idx="1">
                  <c:v>-368926.0282</c:v>
                </c:pt>
                <c:pt idx="2">
                  <c:v>-350893.6828</c:v>
                </c:pt>
                <c:pt idx="3">
                  <c:v>-332408.465764</c:v>
                </c:pt>
                <c:pt idx="4">
                  <c:v>-313461.31965928</c:v>
                </c:pt>
                <c:pt idx="5">
                  <c:v>-294043.005904466</c:v>
                </c:pt>
                <c:pt idx="6">
                  <c:v>-274144.101146555</c:v>
                </c:pt>
                <c:pt idx="7">
                  <c:v>-253754.993565486</c:v>
                </c:pt>
                <c:pt idx="8">
                  <c:v>-232865.879104796</c:v>
                </c:pt>
                <c:pt idx="9">
                  <c:v>-211466.757626892</c:v>
                </c:pt>
                <c:pt idx="10">
                  <c:v>268532.832302413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5906726"/>
        <c:axId val="89278754"/>
      </c:lineChart>
      <c:catAx>
        <c:axId val="5590672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Anno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278754"/>
        <c:crosses val="autoZero"/>
        <c:auto val="1"/>
        <c:lblAlgn val="ctr"/>
        <c:lblOffset val="100"/>
        <c:noMultiLvlLbl val="0"/>
      </c:catAx>
      <c:valAx>
        <c:axId val="8927875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90672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6</xdr:row>
      <xdr:rowOff>0</xdr:rowOff>
    </xdr:from>
    <xdr:to>
      <xdr:col>20</xdr:col>
      <xdr:colOff>30240</xdr:colOff>
      <xdr:row>19</xdr:row>
      <xdr:rowOff>165240</xdr:rowOff>
    </xdr:to>
    <xdr:graphicFrame>
      <xdr:nvGraphicFramePr>
        <xdr:cNvPr id="0" name="Chart 1"/>
        <xdr:cNvGraphicFramePr/>
      </xdr:nvGraphicFramePr>
      <xdr:xfrm>
        <a:off x="9163080" y="1181160"/>
        <a:ext cx="55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24</xdr:row>
      <xdr:rowOff>0</xdr:rowOff>
    </xdr:from>
    <xdr:to>
      <xdr:col>20</xdr:col>
      <xdr:colOff>30240</xdr:colOff>
      <xdr:row>41</xdr:row>
      <xdr:rowOff>1080</xdr:rowOff>
    </xdr:to>
    <xdr:graphicFrame>
      <xdr:nvGraphicFramePr>
        <xdr:cNvPr id="1" name="Chart 2"/>
        <xdr:cNvGraphicFramePr/>
      </xdr:nvGraphicFramePr>
      <xdr:xfrm>
        <a:off x="9163080" y="4848120"/>
        <a:ext cx="55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6" min="2" style="1" width="17"/>
    <col collapsed="false" customWidth="true" hidden="false" outlineLevel="0" max="13" min="7" style="1" width="3"/>
  </cols>
  <sheetData>
    <row r="1" customFormat="false" ht="18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3" t="s">
        <v>2</v>
      </c>
    </row>
    <row r="5" customFormat="false" ht="15" hidden="false" customHeight="true" outlineLevel="0" collapsed="false">
      <c r="A5" s="4" t="s">
        <v>3</v>
      </c>
      <c r="B5" s="5" t="n">
        <f aca="false">Assunzioni!B23</f>
        <v>385400</v>
      </c>
      <c r="C5" s="3" t="s">
        <v>4</v>
      </c>
    </row>
    <row r="7" customFormat="false" ht="33.75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7" t="s">
        <v>10</v>
      </c>
    </row>
    <row r="8" customFormat="false" ht="15" hidden="false" customHeight="true" outlineLevel="0" collapsed="false">
      <c r="A8" s="8" t="s">
        <v>11</v>
      </c>
      <c r="B8" s="9" t="n">
        <f aca="false">A_Immobile_Equity!B41</f>
        <v>0.00866093284082307</v>
      </c>
      <c r="C8" s="9" t="n">
        <f aca="false">B_Immobile_Leva!B54</f>
        <v>0.0100479966098236</v>
      </c>
      <c r="D8" s="9" t="n">
        <f aca="false">C_BTP!B20</f>
        <v>0.028095999999972</v>
      </c>
      <c r="E8" s="9" t="n">
        <f aca="false">D_ETF_Accumulazione!B19</f>
        <v>0.0266401247584831</v>
      </c>
      <c r="F8" s="10" t="n">
        <f aca="false">E_Immobile_Best!B37</f>
        <v>0.064128461246675</v>
      </c>
    </row>
    <row r="9" customFormat="false" ht="15" hidden="false" customHeight="true" outlineLevel="0" collapsed="false">
      <c r="A9" s="8" t="s">
        <v>12</v>
      </c>
      <c r="B9" s="9" t="n">
        <f aca="false">A_Immobile_Equity!B44</f>
        <v>0.00941154008048284</v>
      </c>
      <c r="C9" s="9" t="n">
        <f aca="false">B_Immobile_Leva!B57</f>
        <v>0.00692441216730999</v>
      </c>
      <c r="D9" s="9" t="n">
        <f aca="false">C_BTP!B23</f>
        <v>0.0277440843199379</v>
      </c>
      <c r="E9" s="9" t="n">
        <f aca="false">D_ETF_Accumulazione!B22</f>
        <v>0.0266401247584831</v>
      </c>
      <c r="F9" s="10" t="n">
        <f aca="false">E_Immobile_Best!B40</f>
        <v>0.0578408735646541</v>
      </c>
    </row>
    <row r="10" customFormat="false" ht="15" hidden="false" customHeight="true" outlineLevel="0" collapsed="false">
      <c r="A10" s="11" t="s">
        <v>13</v>
      </c>
      <c r="B10" s="12" t="n">
        <f aca="false">A_Immobile_Equity!B42</f>
        <v>1.08615398456884</v>
      </c>
      <c r="C10" s="12" t="n">
        <f aca="false">B_Immobile_Leva!B55</f>
        <v>1.12648567883635</v>
      </c>
      <c r="D10" s="12" t="n">
        <f aca="false">C_BTP!B21</f>
        <v>1.28096</v>
      </c>
      <c r="E10" s="12" t="n">
        <f aca="false">D_ETF_Accumulazione!B20</f>
        <v>1.30071557423885</v>
      </c>
      <c r="F10" s="13" t="n">
        <f aca="false">E_Immobile_Best!B38</f>
        <v>1.69676396549666</v>
      </c>
    </row>
    <row r="11" customFormat="false" ht="15" hidden="false" customHeight="true" outlineLevel="0" collapsed="false">
      <c r="A11" s="8" t="s">
        <v>14</v>
      </c>
      <c r="B11" s="14" t="n">
        <f aca="false">A_Immobile_Equity!B43</f>
        <v>423247.464610102</v>
      </c>
      <c r="C11" s="14" t="n">
        <f aca="false">B_Immobile_Leva!B56</f>
        <v>412933.780037079</v>
      </c>
      <c r="D11" s="14" t="n">
        <f aca="false">C_BTP!B22</f>
        <v>506712.440533269</v>
      </c>
      <c r="E11" s="14" t="n">
        <f aca="false">D_ETF_Accumulazione!B21</f>
        <v>501295.782311652</v>
      </c>
      <c r="F11" s="15" t="n">
        <f aca="false">E_Immobile_Best!B39</f>
        <v>676262.251383336</v>
      </c>
    </row>
    <row r="12" customFormat="false" ht="15" hidden="false" customHeight="true" outlineLevel="0" collapsed="false">
      <c r="A12" s="11" t="s">
        <v>15</v>
      </c>
      <c r="B12" s="16" t="n">
        <f aca="false">B11-$B$5</f>
        <v>37847.4646101024</v>
      </c>
      <c r="C12" s="16" t="n">
        <f aca="false">C11-$B$5</f>
        <v>27533.780037079</v>
      </c>
      <c r="D12" s="16" t="n">
        <f aca="false">D11-$B$5</f>
        <v>121312.440533269</v>
      </c>
      <c r="E12" s="16" t="n">
        <f aca="false">E11-$B$5</f>
        <v>115895.782311652</v>
      </c>
      <c r="F12" s="17" t="n">
        <f aca="false">F11-$B$5</f>
        <v>290862.251383336</v>
      </c>
    </row>
    <row r="13" customFormat="false" ht="15" hidden="false" customHeight="true" outlineLevel="0" collapsed="false">
      <c r="A13" s="11" t="s">
        <v>16</v>
      </c>
      <c r="B13" s="16" t="n">
        <f aca="false">A_Immobile_Equity!B45</f>
        <v>-182908.957953576</v>
      </c>
      <c r="C13" s="16" t="n">
        <f aca="false">B_Immobile_Leva!B58</f>
        <v>-220343.210374951</v>
      </c>
      <c r="D13" s="16" t="n">
        <f aca="false">C_BTP!B24</f>
        <v>-134227.137024275</v>
      </c>
      <c r="E13" s="16" t="n">
        <f aca="false">D_ETF_Accumulazione!B23</f>
        <v>-153203.058028925</v>
      </c>
      <c r="F13" s="17" t="n">
        <f aca="false">E_Immobile_Best!B41</f>
        <v>-44109.9901894224</v>
      </c>
    </row>
    <row r="15" customFormat="false" ht="15" hidden="false" customHeight="true" outlineLevel="0" collapsed="false">
      <c r="A15" s="18" t="s">
        <v>17</v>
      </c>
      <c r="B15" s="19"/>
      <c r="C15" s="19"/>
      <c r="D15" s="19"/>
      <c r="E15" s="19"/>
    </row>
    <row r="16" customFormat="false" ht="15" hidden="false" customHeight="true" outlineLevel="0" collapsed="false">
      <c r="A16" s="11" t="s">
        <v>18</v>
      </c>
      <c r="B16" s="20" t="s">
        <v>19</v>
      </c>
      <c r="C16" s="20" t="s">
        <v>19</v>
      </c>
      <c r="D16" s="21" t="s">
        <v>20</v>
      </c>
      <c r="E16" s="21" t="s">
        <v>20</v>
      </c>
      <c r="F16" s="22" t="s">
        <v>19</v>
      </c>
    </row>
    <row r="17" customFormat="false" ht="15" hidden="false" customHeight="true" outlineLevel="0" collapsed="false">
      <c r="A17" s="11" t="s">
        <v>21</v>
      </c>
      <c r="B17" s="20" t="s">
        <v>22</v>
      </c>
      <c r="C17" s="20" t="s">
        <v>22</v>
      </c>
      <c r="D17" s="23" t="s">
        <v>23</v>
      </c>
      <c r="E17" s="21" t="s">
        <v>24</v>
      </c>
      <c r="F17" s="22" t="s">
        <v>25</v>
      </c>
    </row>
    <row r="18" customFormat="false" ht="15" hidden="false" customHeight="true" outlineLevel="0" collapsed="false">
      <c r="A18" s="11" t="s">
        <v>26</v>
      </c>
      <c r="B18" s="20" t="s">
        <v>27</v>
      </c>
      <c r="C18" s="20" t="s">
        <v>27</v>
      </c>
      <c r="D18" s="21" t="s">
        <v>28</v>
      </c>
      <c r="E18" s="21" t="s">
        <v>28</v>
      </c>
      <c r="F18" s="22" t="s">
        <v>29</v>
      </c>
    </row>
    <row r="19" customFormat="false" ht="15" hidden="false" customHeight="true" outlineLevel="0" collapsed="false">
      <c r="A19" s="11" t="s">
        <v>30</v>
      </c>
      <c r="B19" s="20" t="s">
        <v>27</v>
      </c>
      <c r="C19" s="20" t="s">
        <v>27</v>
      </c>
      <c r="D19" s="21" t="s">
        <v>28</v>
      </c>
      <c r="E19" s="21" t="s">
        <v>28</v>
      </c>
      <c r="F19" s="22" t="s">
        <v>29</v>
      </c>
    </row>
    <row r="20" customFormat="false" ht="15" hidden="false" customHeight="true" outlineLevel="0" collapsed="false">
      <c r="A20" s="11" t="s">
        <v>31</v>
      </c>
      <c r="B20" s="20" t="s">
        <v>27</v>
      </c>
      <c r="C20" s="20" t="s">
        <v>27</v>
      </c>
      <c r="D20" s="21" t="s">
        <v>28</v>
      </c>
      <c r="E20" s="21" t="s">
        <v>28</v>
      </c>
      <c r="F20" s="22" t="s">
        <v>29</v>
      </c>
    </row>
    <row r="21" customFormat="false" ht="15" hidden="false" customHeight="true" outlineLevel="0" collapsed="false">
      <c r="A21" s="11" t="s">
        <v>32</v>
      </c>
      <c r="B21" s="20" t="s">
        <v>33</v>
      </c>
      <c r="C21" s="20" t="s">
        <v>33</v>
      </c>
      <c r="D21" s="21" t="s">
        <v>34</v>
      </c>
      <c r="E21" s="21" t="s">
        <v>34</v>
      </c>
      <c r="F21" s="22" t="s">
        <v>33</v>
      </c>
    </row>
    <row r="22" customFormat="false" ht="15" hidden="false" customHeight="true" outlineLevel="0" collapsed="false">
      <c r="A22" s="11" t="s">
        <v>35</v>
      </c>
      <c r="B22" s="23" t="s">
        <v>36</v>
      </c>
      <c r="C22" s="23" t="s">
        <v>36</v>
      </c>
      <c r="D22" s="23" t="s">
        <v>37</v>
      </c>
      <c r="E22" s="23" t="s">
        <v>37</v>
      </c>
      <c r="F22" s="22" t="s">
        <v>38</v>
      </c>
    </row>
    <row r="23" customFormat="false" ht="15" hidden="false" customHeight="true" outlineLevel="0" collapsed="false">
      <c r="A23" s="11" t="s">
        <v>39</v>
      </c>
      <c r="B23" s="23" t="s">
        <v>27</v>
      </c>
      <c r="C23" s="23" t="s">
        <v>27</v>
      </c>
      <c r="D23" s="23" t="s">
        <v>28</v>
      </c>
      <c r="E23" s="23" t="s">
        <v>28</v>
      </c>
      <c r="F23" s="22" t="s">
        <v>27</v>
      </c>
    </row>
    <row r="25" customFormat="false" ht="15" hidden="false" customHeight="true" outlineLevel="0" collapsed="false">
      <c r="A25" s="4" t="s">
        <v>40</v>
      </c>
      <c r="B25" s="24" t="n">
        <f aca="false">B9-E9</f>
        <v>-0.0172285846780003</v>
      </c>
      <c r="C25" s="3" t="s">
        <v>41</v>
      </c>
    </row>
    <row r="26" customFormat="false" ht="15" hidden="false" customHeight="true" outlineLevel="0" collapsed="false">
      <c r="A26" s="4" t="s">
        <v>42</v>
      </c>
      <c r="B26" s="25" t="n">
        <v>0.03</v>
      </c>
      <c r="C26" s="3" t="s">
        <v>43</v>
      </c>
    </row>
    <row r="27" customFormat="false" ht="15" hidden="false" customHeight="true" outlineLevel="0" collapsed="false">
      <c r="A27" s="4" t="s">
        <v>44</v>
      </c>
      <c r="B27" s="26" t="str">
        <f aca="false">IF(B25&gt;=B26,"COMPENSA","NON COMPENSA")</f>
        <v>NON COMPENSA</v>
      </c>
      <c r="C27" s="3" t="s">
        <v>45</v>
      </c>
    </row>
    <row r="29" customFormat="false" ht="15" hidden="false" customHeight="true" outlineLevel="0" collapsed="false">
      <c r="A29" s="18" t="s">
        <v>46</v>
      </c>
      <c r="B29" s="19"/>
      <c r="C29" s="19"/>
      <c r="D29" s="19"/>
      <c r="E29" s="19"/>
    </row>
    <row r="30" customFormat="false" ht="15" hidden="false" customHeight="true" outlineLevel="0" collapsed="false">
      <c r="A30" s="4" t="s">
        <v>47</v>
      </c>
      <c r="B30" s="27" t="n">
        <v>849000</v>
      </c>
      <c r="C30" s="3" t="s">
        <v>48</v>
      </c>
    </row>
    <row r="31" customFormat="false" ht="15" hidden="false" customHeight="true" outlineLevel="0" collapsed="false">
      <c r="A31" s="4" t="s">
        <v>49</v>
      </c>
      <c r="B31" s="28" t="n">
        <f aca="false">Assunzioni!B6</f>
        <v>450000</v>
      </c>
      <c r="C31" s="3" t="s">
        <v>50</v>
      </c>
    </row>
    <row r="32" customFormat="false" ht="15" hidden="false" customHeight="true" outlineLevel="0" collapsed="false">
      <c r="A32" s="4" t="s">
        <v>51</v>
      </c>
      <c r="B32" s="28" t="n">
        <f aca="false">Assunzioni!B5</f>
        <v>360000</v>
      </c>
      <c r="C32" s="3" t="s">
        <v>52</v>
      </c>
    </row>
    <row r="33" customFormat="false" ht="15" hidden="false" customHeight="true" outlineLevel="0" collapsed="false">
      <c r="A33" s="4" t="s">
        <v>53</v>
      </c>
      <c r="B33" s="29" t="n">
        <f aca="false">A_Immobile_Equity!C30/Assunzioni!B23</f>
        <v>0.0198974202581733</v>
      </c>
      <c r="C33" s="3" t="s">
        <v>54</v>
      </c>
    </row>
    <row r="34" customFormat="false" ht="15" hidden="false" customHeight="true" outlineLevel="0" collapsed="false">
      <c r="A34" s="4" t="s">
        <v>55</v>
      </c>
      <c r="B34" s="28" t="n">
        <f aca="false">Solver_Pareggio!B17</f>
        <v>284388.656918306</v>
      </c>
      <c r="C34" s="3" t="s">
        <v>56</v>
      </c>
    </row>
    <row r="36" customFormat="false" ht="15" hidden="false" customHeight="true" outlineLevel="0" collapsed="false">
      <c r="A36" s="3" t="s">
        <v>57</v>
      </c>
    </row>
    <row r="37" customFormat="false" ht="15" hidden="false" customHeight="true" outlineLevel="0" collapsed="false">
      <c r="A37" s="4" t="s">
        <v>58</v>
      </c>
      <c r="B37" s="30" t="n">
        <v>0</v>
      </c>
      <c r="C37" s="30" t="n">
        <v>1</v>
      </c>
      <c r="D37" s="30" t="n">
        <v>2</v>
      </c>
      <c r="E37" s="30" t="n">
        <v>3</v>
      </c>
      <c r="F37" s="30" t="n">
        <v>4</v>
      </c>
      <c r="G37" s="30" t="n">
        <v>5</v>
      </c>
      <c r="H37" s="30" t="n">
        <v>6</v>
      </c>
      <c r="I37" s="30" t="n">
        <v>7</v>
      </c>
      <c r="J37" s="30" t="n">
        <v>8</v>
      </c>
      <c r="K37" s="30" t="n">
        <v>9</v>
      </c>
      <c r="L37" s="30" t="n">
        <v>10</v>
      </c>
    </row>
    <row r="38" customFormat="false" ht="15" hidden="false" customHeight="true" outlineLevel="0" collapsed="false">
      <c r="A38" s="31" t="s">
        <v>59</v>
      </c>
      <c r="B38" s="32" t="n">
        <f aca="false">A_Immobile_Equity!B34</f>
        <v>-385400</v>
      </c>
      <c r="C38" s="32" t="n">
        <f aca="false">B38+A_Immobile_Equity!C34</f>
        <v>-377731.5342325</v>
      </c>
      <c r="D38" s="32" t="n">
        <f aca="false">C38+A_Immobile_Equity!D34</f>
        <v>-368760.9141115</v>
      </c>
      <c r="E38" s="32" t="n">
        <f aca="false">D38+A_Immobile_Equity!E34</f>
        <v>-359600.822398698</v>
      </c>
      <c r="F38" s="32" t="n">
        <f aca="false">E38+A_Immobile_Equity!F34</f>
        <v>-350249.556921216</v>
      </c>
      <c r="G38" s="32" t="n">
        <f aca="false">F38+A_Immobile_Equity!G34</f>
        <v>-370705.412771604</v>
      </c>
      <c r="H38" s="32" t="n">
        <f aca="false">G38+A_Immobile_Equity!H34</f>
        <v>-370966.682722781</v>
      </c>
      <c r="I38" s="32" t="n">
        <f aca="false">H38+A_Immobile_Equity!I34</f>
        <v>-361031.657658319</v>
      </c>
      <c r="J38" s="32" t="n">
        <f aca="false">I38+A_Immobile_Equity!J34</f>
        <v>-375898.627018485</v>
      </c>
      <c r="K38" s="32" t="n">
        <f aca="false">J38+A_Immobile_Equity!K34</f>
        <v>-365565.87926246</v>
      </c>
      <c r="L38" s="32" t="n">
        <f aca="false">K38+A_Immobile_Equity!L34</f>
        <v>33203.7456528313</v>
      </c>
    </row>
    <row r="39" customFormat="false" ht="15" hidden="false" customHeight="true" outlineLevel="0" collapsed="false">
      <c r="A39" s="31" t="s">
        <v>60</v>
      </c>
      <c r="B39" s="32" t="n">
        <f aca="false">B_Immobile_Leva!B47</f>
        <v>-385400</v>
      </c>
      <c r="C39" s="32" t="n">
        <f aca="false">B39+B_Immobile_Leva!C47</f>
        <v>-398600.336815384</v>
      </c>
      <c r="D39" s="32" t="n">
        <f aca="false">C39+B_Immobile_Leva!D47</f>
        <v>-411394.623237268</v>
      </c>
      <c r="E39" s="32" t="n">
        <f aca="false">D39+B_Immobile_Leva!E47</f>
        <v>-423936.368466749</v>
      </c>
      <c r="F39" s="32" t="n">
        <f aca="false">E39+B_Immobile_Leva!F47</f>
        <v>-436223.303726942</v>
      </c>
      <c r="G39" s="32" t="n">
        <f aca="false">F39+B_Immobile_Leva!G47</f>
        <v>-478253.156596127</v>
      </c>
      <c r="H39" s="32" t="n">
        <f aca="false">G39+B_Immobile_Leva!H47</f>
        <v>-500023.651560815</v>
      </c>
      <c r="I39" s="32" t="n">
        <f aca="false">H39+B_Immobile_Leva!I47</f>
        <v>-511552.239089193</v>
      </c>
      <c r="J39" s="32" t="n">
        <f aca="false">I39+B_Immobile_Leva!J47</f>
        <v>-548067.314907353</v>
      </c>
      <c r="K39" s="32" t="n">
        <f aca="false">J39+B_Immobile_Leva!K47</f>
        <v>-559574.639476012</v>
      </c>
      <c r="L39" s="32" t="n">
        <f aca="false">K39+B_Immobile_Leva!L47</f>
        <v>48747.5806235281</v>
      </c>
    </row>
    <row r="40" customFormat="false" ht="15" hidden="false" customHeight="true" outlineLevel="0" collapsed="false">
      <c r="A40" s="31" t="s">
        <v>61</v>
      </c>
      <c r="B40" s="32" t="n">
        <f aca="false">C_BTP!B13</f>
        <v>-385400</v>
      </c>
      <c r="C40" s="32" t="n">
        <f aca="false">B40+C_BTP!C13</f>
        <v>-374571.8016</v>
      </c>
      <c r="D40" s="32" t="n">
        <f aca="false">C40+C_BTP!D13</f>
        <v>-363743.6032</v>
      </c>
      <c r="E40" s="32" t="n">
        <f aca="false">D40+C_BTP!E13</f>
        <v>-352915.4048</v>
      </c>
      <c r="F40" s="32" t="n">
        <f aca="false">E40+C_BTP!F13</f>
        <v>-342087.2064</v>
      </c>
      <c r="G40" s="32" t="n">
        <f aca="false">F40+C_BTP!G13</f>
        <v>-331259.008</v>
      </c>
      <c r="H40" s="32" t="n">
        <f aca="false">G40+C_BTP!H13</f>
        <v>-320430.8096</v>
      </c>
      <c r="I40" s="32" t="n">
        <f aca="false">H40+C_BTP!I13</f>
        <v>-309602.6112</v>
      </c>
      <c r="J40" s="32" t="n">
        <f aca="false">I40+C_BTP!J13</f>
        <v>-298774.4128</v>
      </c>
      <c r="K40" s="32" t="n">
        <f aca="false">J40+C_BTP!K13</f>
        <v>-287946.2144</v>
      </c>
      <c r="L40" s="32" t="n">
        <f aca="false">K40+C_BTP!L13</f>
        <v>108281.984</v>
      </c>
    </row>
    <row r="41" customFormat="false" ht="15" hidden="false" customHeight="true" outlineLevel="0" collapsed="false">
      <c r="A41" s="31" t="s">
        <v>62</v>
      </c>
      <c r="B41" s="32" t="n">
        <f aca="false">D_ETF_Accumulazione!B14</f>
        <v>-385400</v>
      </c>
      <c r="C41" s="32" t="n">
        <f aca="false">B41+D_ETF_Accumulazione!C14</f>
        <v>-385400</v>
      </c>
      <c r="D41" s="32" t="n">
        <f aca="false">C41+D_ETF_Accumulazione!D14</f>
        <v>-385400</v>
      </c>
      <c r="E41" s="32" t="n">
        <f aca="false">D41+D_ETF_Accumulazione!E14</f>
        <v>-385400</v>
      </c>
      <c r="F41" s="32" t="n">
        <f aca="false">E41+D_ETF_Accumulazione!F14</f>
        <v>-385400</v>
      </c>
      <c r="G41" s="32" t="n">
        <f aca="false">F41+D_ETF_Accumulazione!G14</f>
        <v>-385400</v>
      </c>
      <c r="H41" s="32" t="n">
        <f aca="false">G41+D_ETF_Accumulazione!H14</f>
        <v>-385400</v>
      </c>
      <c r="I41" s="32" t="n">
        <f aca="false">H41+D_ETF_Accumulazione!I14</f>
        <v>-385400</v>
      </c>
      <c r="J41" s="32" t="n">
        <f aca="false">I41+D_ETF_Accumulazione!J14</f>
        <v>-385400</v>
      </c>
      <c r="K41" s="32" t="n">
        <f aca="false">J41+D_ETF_Accumulazione!K14</f>
        <v>-385400</v>
      </c>
      <c r="L41" s="32" t="n">
        <f aca="false">K41+D_ETF_Accumulazione!L14</f>
        <v>115895.782311652</v>
      </c>
    </row>
    <row r="42" customFormat="false" ht="15" hidden="false" customHeight="true" outlineLevel="0" collapsed="false">
      <c r="A42" s="31" t="s">
        <v>63</v>
      </c>
      <c r="B42" s="32" t="n">
        <f aca="false">E_Immobile_Best!B30</f>
        <v>-385400</v>
      </c>
      <c r="C42" s="32" t="n">
        <f aca="false">B42+E_Immobile_Best!C30</f>
        <v>-368926.0282</v>
      </c>
      <c r="D42" s="32" t="n">
        <f aca="false">C42+E_Immobile_Best!D30</f>
        <v>-350893.6828</v>
      </c>
      <c r="E42" s="32" t="n">
        <f aca="false">D42+E_Immobile_Best!E30</f>
        <v>-332408.465764</v>
      </c>
      <c r="F42" s="32" t="n">
        <f aca="false">E42+E_Immobile_Best!F30</f>
        <v>-313461.31965928</v>
      </c>
      <c r="G42" s="32" t="n">
        <f aca="false">F42+E_Immobile_Best!G30</f>
        <v>-294043.005904466</v>
      </c>
      <c r="H42" s="32" t="n">
        <f aca="false">G42+E_Immobile_Best!H30</f>
        <v>-274144.101146555</v>
      </c>
      <c r="I42" s="32" t="n">
        <f aca="false">H42+E_Immobile_Best!I30</f>
        <v>-253754.993565486</v>
      </c>
      <c r="J42" s="32" t="n">
        <f aca="false">I42+E_Immobile_Best!J30</f>
        <v>-232865.879104796</v>
      </c>
      <c r="K42" s="32" t="n">
        <f aca="false">J42+E_Immobile_Best!K30</f>
        <v>-211466.757626892</v>
      </c>
      <c r="L42" s="32" t="n">
        <f aca="false">K42+E_Immobile_Best!L30</f>
        <v>268532.832302413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66"/>
  </cols>
  <sheetData>
    <row r="1" customFormat="false" ht="18" hidden="false" customHeight="true" outlineLevel="0" collapsed="false">
      <c r="A1" s="2" t="s">
        <v>64</v>
      </c>
    </row>
    <row r="2" customFormat="false" ht="15" hidden="false" customHeight="true" outlineLevel="0" collapsed="false">
      <c r="A2" s="3" t="s">
        <v>65</v>
      </c>
    </row>
    <row r="4" customFormat="false" ht="15" hidden="false" customHeight="true" outlineLevel="0" collapsed="false">
      <c r="A4" s="18" t="s">
        <v>66</v>
      </c>
      <c r="B4" s="19"/>
      <c r="C4" s="33" t="s">
        <v>67</v>
      </c>
      <c r="D4" s="19"/>
      <c r="E4" s="19"/>
      <c r="F4" s="19"/>
      <c r="G4" s="19"/>
      <c r="H4" s="19"/>
      <c r="I4" s="19"/>
      <c r="J4" s="19"/>
      <c r="K4" s="19"/>
      <c r="L4" s="19"/>
    </row>
    <row r="5" customFormat="false" ht="15" hidden="false" customHeight="true" outlineLevel="0" collapsed="false">
      <c r="A5" s="31" t="s">
        <v>68</v>
      </c>
      <c r="B5" s="27" t="n">
        <v>360000</v>
      </c>
      <c r="C5" s="3" t="s">
        <v>69</v>
      </c>
    </row>
    <row r="6" customFormat="false" ht="15" hidden="false" customHeight="true" outlineLevel="0" collapsed="false">
      <c r="A6" s="31" t="s">
        <v>70</v>
      </c>
      <c r="B6" s="27" t="n">
        <v>450000</v>
      </c>
      <c r="C6" s="3" t="s">
        <v>71</v>
      </c>
    </row>
    <row r="7" customFormat="false" ht="15" hidden="false" customHeight="true" outlineLevel="0" collapsed="false">
      <c r="A7" s="31" t="s">
        <v>72</v>
      </c>
      <c r="B7" s="34" t="n">
        <v>1100</v>
      </c>
      <c r="C7" s="3" t="s">
        <v>73</v>
      </c>
    </row>
    <row r="8" customFormat="false" ht="15" hidden="false" customHeight="true" outlineLevel="0" collapsed="false">
      <c r="A8" s="31" t="s">
        <v>74</v>
      </c>
      <c r="B8" s="27" t="n">
        <v>42000</v>
      </c>
      <c r="C8" s="3" t="s">
        <v>75</v>
      </c>
    </row>
    <row r="9" customFormat="false" ht="15" hidden="false" customHeight="true" outlineLevel="0" collapsed="false">
      <c r="A9" s="31" t="s">
        <v>76</v>
      </c>
      <c r="B9" s="25" t="n">
        <v>0.02</v>
      </c>
      <c r="C9" s="3" t="s">
        <v>77</v>
      </c>
    </row>
    <row r="10" customFormat="false" ht="15" hidden="false" customHeight="true" outlineLevel="0" collapsed="false">
      <c r="A10" s="31" t="s">
        <v>78</v>
      </c>
      <c r="B10" s="25" t="n">
        <v>0.75</v>
      </c>
      <c r="C10" s="3" t="s">
        <v>79</v>
      </c>
    </row>
    <row r="11" customFormat="false" ht="15" hidden="false" customHeight="true" outlineLevel="0" collapsed="false">
      <c r="A11" s="4" t="s">
        <v>80</v>
      </c>
      <c r="B11" s="35" t="n">
        <f aca="false">B9*B10</f>
        <v>0.015</v>
      </c>
      <c r="C11" s="3" t="s">
        <v>81</v>
      </c>
    </row>
    <row r="12" customFormat="false" ht="15" hidden="false" customHeight="true" outlineLevel="0" collapsed="false">
      <c r="A12" s="31" t="s">
        <v>82</v>
      </c>
      <c r="B12" s="25" t="n">
        <v>0.09</v>
      </c>
      <c r="C12" s="3" t="s">
        <v>83</v>
      </c>
    </row>
    <row r="13" customFormat="false" ht="15" hidden="false" customHeight="true" outlineLevel="0" collapsed="false">
      <c r="A13" s="31" t="s">
        <v>84</v>
      </c>
      <c r="B13" s="25" t="n">
        <v>0</v>
      </c>
      <c r="C13" s="3" t="s">
        <v>85</v>
      </c>
    </row>
    <row r="15" customFormat="false" ht="15" hidden="false" customHeight="true" outlineLevel="0" collapsed="false">
      <c r="A15" s="18" t="s">
        <v>86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Format="false" ht="15" hidden="false" customHeight="true" outlineLevel="0" collapsed="false">
      <c r="A16" s="31" t="s">
        <v>87</v>
      </c>
      <c r="B16" s="25" t="n">
        <v>0.03</v>
      </c>
      <c r="C16" s="3" t="s">
        <v>88</v>
      </c>
    </row>
    <row r="17" customFormat="false" ht="15" hidden="false" customHeight="true" outlineLevel="0" collapsed="false">
      <c r="A17" s="31" t="s">
        <v>89</v>
      </c>
      <c r="B17" s="25" t="n">
        <v>0.01</v>
      </c>
      <c r="C17" s="3" t="s">
        <v>90</v>
      </c>
    </row>
    <row r="18" customFormat="false" ht="15" hidden="false" customHeight="true" outlineLevel="0" collapsed="false">
      <c r="A18" s="31" t="s">
        <v>91</v>
      </c>
      <c r="B18" s="27" t="n">
        <v>500</v>
      </c>
      <c r="C18" s="3" t="s">
        <v>92</v>
      </c>
    </row>
    <row r="19" customFormat="false" ht="15" hidden="false" customHeight="true" outlineLevel="0" collapsed="false">
      <c r="A19" s="31" t="s">
        <v>93</v>
      </c>
      <c r="B19" s="27" t="n">
        <v>5500</v>
      </c>
      <c r="C19" s="3" t="s">
        <v>94</v>
      </c>
    </row>
    <row r="20" customFormat="false" ht="15" hidden="false" customHeight="true" outlineLevel="0" collapsed="false">
      <c r="A20" s="31" t="s">
        <v>95</v>
      </c>
      <c r="B20" s="27" t="n">
        <v>5000</v>
      </c>
      <c r="C20" s="3" t="s">
        <v>96</v>
      </c>
    </row>
    <row r="21" customFormat="false" ht="15" hidden="false" customHeight="true" outlineLevel="0" collapsed="false">
      <c r="A21" s="31" t="s">
        <v>97</v>
      </c>
      <c r="B21" s="25" t="n">
        <v>0</v>
      </c>
      <c r="C21" s="3" t="s">
        <v>98</v>
      </c>
    </row>
    <row r="22" customFormat="false" ht="15" hidden="false" customHeight="true" outlineLevel="0" collapsed="false">
      <c r="A22" s="4" t="s">
        <v>99</v>
      </c>
      <c r="B22" s="28" t="n">
        <f aca="false">B5*(B16+B17+B21)+B18+B19+B20</f>
        <v>25400</v>
      </c>
      <c r="C22" s="3"/>
    </row>
    <row r="23" customFormat="false" ht="15" hidden="false" customHeight="true" outlineLevel="0" collapsed="false">
      <c r="A23" s="4" t="s">
        <v>100</v>
      </c>
      <c r="B23" s="28" t="n">
        <f aca="false">B5+B22</f>
        <v>385400</v>
      </c>
      <c r="C23" s="3" t="s">
        <v>101</v>
      </c>
    </row>
    <row r="25" customFormat="false" ht="15" hidden="false" customHeight="true" outlineLevel="0" collapsed="false">
      <c r="A25" s="18" t="s">
        <v>102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customFormat="false" ht="15" hidden="false" customHeight="true" outlineLevel="0" collapsed="false">
      <c r="A26" s="31" t="s">
        <v>103</v>
      </c>
      <c r="B26" s="27" t="n">
        <v>10850</v>
      </c>
      <c r="C26" s="3" t="s">
        <v>104</v>
      </c>
    </row>
    <row r="27" customFormat="false" ht="15" hidden="false" customHeight="true" outlineLevel="0" collapsed="false">
      <c r="A27" s="31" t="s">
        <v>105</v>
      </c>
      <c r="B27" s="27" t="n">
        <v>1150</v>
      </c>
      <c r="C27" s="3" t="s">
        <v>106</v>
      </c>
    </row>
    <row r="28" customFormat="false" ht="15" hidden="false" customHeight="true" outlineLevel="0" collapsed="false">
      <c r="A28" s="31" t="s">
        <v>107</v>
      </c>
      <c r="B28" s="27" t="n">
        <v>7000</v>
      </c>
      <c r="C28" s="3" t="s">
        <v>108</v>
      </c>
    </row>
    <row r="29" customFormat="false" ht="15" hidden="false" customHeight="true" outlineLevel="0" collapsed="false">
      <c r="A29" s="31" t="s">
        <v>109</v>
      </c>
      <c r="B29" s="27" t="n">
        <v>5500</v>
      </c>
      <c r="C29" s="3" t="s">
        <v>110</v>
      </c>
    </row>
    <row r="30" customFormat="false" ht="15" hidden="false" customHeight="true" outlineLevel="0" collapsed="false">
      <c r="A30" s="31" t="s">
        <v>111</v>
      </c>
      <c r="B30" s="27" t="n">
        <v>3000</v>
      </c>
      <c r="C30" s="3" t="s">
        <v>112</v>
      </c>
    </row>
    <row r="31" customFormat="false" ht="15" hidden="false" customHeight="true" outlineLevel="0" collapsed="false">
      <c r="A31" s="31" t="s">
        <v>113</v>
      </c>
      <c r="B31" s="25" t="n">
        <v>0.005</v>
      </c>
      <c r="C31" s="3" t="s">
        <v>114</v>
      </c>
    </row>
    <row r="33" customFormat="false" ht="15" hidden="false" customHeight="true" outlineLevel="0" collapsed="false">
      <c r="A33" s="18" t="s">
        <v>115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Format="false" ht="15" hidden="false" customHeight="true" outlineLevel="0" collapsed="false">
      <c r="A34" s="31" t="s">
        <v>116</v>
      </c>
      <c r="B34" s="27" t="n">
        <v>30000</v>
      </c>
      <c r="C34" s="3" t="s">
        <v>117</v>
      </c>
    </row>
    <row r="35" customFormat="false" ht="15" hidden="false" customHeight="true" outlineLevel="0" collapsed="false">
      <c r="A35" s="31" t="s">
        <v>118</v>
      </c>
      <c r="B35" s="27" t="n">
        <v>25000</v>
      </c>
      <c r="C35" s="3" t="s">
        <v>119</v>
      </c>
    </row>
    <row r="36" customFormat="false" ht="15" hidden="false" customHeight="true" outlineLevel="0" collapsed="false">
      <c r="A36" s="31" t="s">
        <v>120</v>
      </c>
      <c r="B36" s="27" t="n">
        <v>10000</v>
      </c>
      <c r="C36" s="3" t="s">
        <v>121</v>
      </c>
    </row>
    <row r="38" customFormat="false" ht="15" hidden="false" customHeight="true" outlineLevel="0" collapsed="false">
      <c r="A38" s="18" t="s">
        <v>122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Format="false" ht="15" hidden="false" customHeight="true" outlineLevel="0" collapsed="false">
      <c r="A39" s="31" t="s">
        <v>123</v>
      </c>
      <c r="B39" s="25" t="n">
        <v>0.023</v>
      </c>
      <c r="C39" s="3" t="s">
        <v>124</v>
      </c>
    </row>
    <row r="40" customFormat="false" ht="15" hidden="false" customHeight="true" outlineLevel="0" collapsed="false">
      <c r="A40" s="31" t="s">
        <v>125</v>
      </c>
      <c r="B40" s="34" t="n">
        <v>9</v>
      </c>
      <c r="C40" s="3" t="s">
        <v>126</v>
      </c>
    </row>
    <row r="41" customFormat="false" ht="15" hidden="false" customHeight="true" outlineLevel="0" collapsed="false">
      <c r="A41" s="31" t="s">
        <v>127</v>
      </c>
      <c r="B41" s="27" t="n">
        <v>3000</v>
      </c>
      <c r="C41" s="3" t="s">
        <v>128</v>
      </c>
    </row>
    <row r="42" customFormat="false" ht="15" hidden="false" customHeight="true" outlineLevel="0" collapsed="false">
      <c r="A42" s="4" t="s">
        <v>129</v>
      </c>
      <c r="B42" s="28" t="n">
        <f aca="false">B39*((B8*B40/12)+B41)</f>
        <v>793.5</v>
      </c>
      <c r="C42" s="3" t="s">
        <v>130</v>
      </c>
    </row>
    <row r="44" customFormat="false" ht="15" hidden="false" customHeight="true" outlineLevel="0" collapsed="false">
      <c r="A44" s="18" t="s">
        <v>131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Format="false" ht="15" hidden="false" customHeight="true" outlineLevel="0" collapsed="false">
      <c r="A45" s="31" t="s">
        <v>132</v>
      </c>
      <c r="B45" s="25" t="n">
        <v>0.24</v>
      </c>
      <c r="C45" s="3" t="s">
        <v>133</v>
      </c>
    </row>
    <row r="46" customFormat="false" ht="15" hidden="false" customHeight="true" outlineLevel="0" collapsed="false">
      <c r="A46" s="31" t="s">
        <v>134</v>
      </c>
      <c r="B46" s="25" t="n">
        <v>0.039</v>
      </c>
      <c r="C46" s="3" t="s">
        <v>135</v>
      </c>
    </row>
    <row r="47" customFormat="false" ht="15" hidden="false" customHeight="true" outlineLevel="0" collapsed="false">
      <c r="A47" s="31" t="s">
        <v>136</v>
      </c>
      <c r="B47" s="25" t="n">
        <v>0.3</v>
      </c>
      <c r="C47" s="3" t="s">
        <v>137</v>
      </c>
    </row>
    <row r="48" customFormat="false" ht="15" hidden="false" customHeight="true" outlineLevel="0" collapsed="false">
      <c r="A48" s="31" t="s">
        <v>138</v>
      </c>
      <c r="B48" s="25" t="n">
        <v>0.03</v>
      </c>
      <c r="C48" s="3" t="s">
        <v>139</v>
      </c>
    </row>
    <row r="49" customFormat="false" ht="15" hidden="false" customHeight="true" outlineLevel="0" collapsed="false">
      <c r="A49" s="4" t="s">
        <v>140</v>
      </c>
      <c r="B49" s="36" t="n">
        <f aca="false">B5*(1+B16+B17)+B18+B19</f>
        <v>380400</v>
      </c>
      <c r="C49" s="3" t="s">
        <v>141</v>
      </c>
    </row>
    <row r="50" customFormat="false" ht="15" hidden="false" customHeight="true" outlineLevel="0" collapsed="false">
      <c r="A50" s="4" t="s">
        <v>142</v>
      </c>
      <c r="B50" s="36" t="n">
        <f aca="false">B49*(1-B47)</f>
        <v>266280</v>
      </c>
      <c r="C50" s="3"/>
    </row>
    <row r="51" customFormat="false" ht="15" hidden="false" customHeight="true" outlineLevel="0" collapsed="false">
      <c r="A51" s="4" t="s">
        <v>143</v>
      </c>
      <c r="B51" s="36" t="n">
        <f aca="false">B50*B48</f>
        <v>7988.4</v>
      </c>
      <c r="C51" s="3" t="s">
        <v>144</v>
      </c>
    </row>
    <row r="53" customFormat="false" ht="15" hidden="false" customHeight="true" outlineLevel="0" collapsed="false">
      <c r="A53" s="18" t="s">
        <v>145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Format="false" ht="15" hidden="false" customHeight="true" outlineLevel="0" collapsed="false">
      <c r="A54" s="31" t="s">
        <v>146</v>
      </c>
      <c r="B54" s="25" t="n">
        <v>0.5</v>
      </c>
      <c r="C54" s="3" t="s">
        <v>147</v>
      </c>
    </row>
    <row r="55" customFormat="false" ht="15" hidden="false" customHeight="true" outlineLevel="0" collapsed="false">
      <c r="A55" s="4" t="s">
        <v>148</v>
      </c>
      <c r="B55" s="36" t="n">
        <f aca="false">B5*B54</f>
        <v>180000</v>
      </c>
      <c r="C55" s="3"/>
    </row>
    <row r="56" customFormat="false" ht="15" hidden="false" customHeight="true" outlineLevel="0" collapsed="false">
      <c r="A56" s="31" t="s">
        <v>149</v>
      </c>
      <c r="B56" s="37" t="n">
        <v>0.0405</v>
      </c>
      <c r="C56" s="3" t="s">
        <v>150</v>
      </c>
    </row>
    <row r="57" customFormat="false" ht="15" hidden="false" customHeight="true" outlineLevel="0" collapsed="false">
      <c r="A57" s="31" t="s">
        <v>151</v>
      </c>
      <c r="B57" s="34" t="n">
        <v>10</v>
      </c>
      <c r="C57" s="3" t="s">
        <v>152</v>
      </c>
    </row>
    <row r="58" customFormat="false" ht="15" hidden="false" customHeight="true" outlineLevel="0" collapsed="false">
      <c r="A58" s="4" t="s">
        <v>153</v>
      </c>
      <c r="B58" s="36" t="n">
        <f aca="false">-PMT(B56,B57,B55)</f>
        <v>22247.6427828838</v>
      </c>
      <c r="C58" s="3"/>
    </row>
    <row r="59" customFormat="false" ht="15" hidden="false" customHeight="true" outlineLevel="0" collapsed="false">
      <c r="A59" s="4" t="s">
        <v>154</v>
      </c>
      <c r="B59" s="36" t="n">
        <f aca="false">B55*0.0025</f>
        <v>450</v>
      </c>
      <c r="C59" s="3" t="s">
        <v>155</v>
      </c>
    </row>
    <row r="60" customFormat="false" ht="15" hidden="false" customHeight="true" outlineLevel="0" collapsed="false">
      <c r="A60" s="31" t="s">
        <v>156</v>
      </c>
      <c r="B60" s="27" t="n">
        <v>1500</v>
      </c>
      <c r="C60" s="3" t="s">
        <v>157</v>
      </c>
    </row>
    <row r="61" customFormat="false" ht="15" hidden="false" customHeight="true" outlineLevel="0" collapsed="false">
      <c r="A61" s="31" t="s">
        <v>158</v>
      </c>
      <c r="B61" s="34" t="n">
        <v>1</v>
      </c>
      <c r="C61" s="3" t="s">
        <v>159</v>
      </c>
    </row>
    <row r="62" customFormat="false" ht="15" hidden="false" customHeight="true" outlineLevel="0" collapsed="false">
      <c r="A62" s="4" t="s">
        <v>160</v>
      </c>
      <c r="B62" s="36" t="n">
        <f aca="false">B23-B55+B59+B60</f>
        <v>207350</v>
      </c>
      <c r="C62" s="3"/>
    </row>
    <row r="63" customFormat="false" ht="15" hidden="false" customHeight="true" outlineLevel="0" collapsed="false">
      <c r="A63" s="4" t="s">
        <v>161</v>
      </c>
      <c r="B63" s="36" t="n">
        <f aca="false">B23-B62</f>
        <v>178050</v>
      </c>
      <c r="C63" s="3" t="s">
        <v>162</v>
      </c>
    </row>
    <row r="65" customFormat="false" ht="15" hidden="false" customHeight="true" outlineLevel="0" collapsed="false">
      <c r="A65" s="18" t="s">
        <v>163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Format="false" ht="15" hidden="false" customHeight="true" outlineLevel="0" collapsed="false">
      <c r="A66" s="4" t="s">
        <v>164</v>
      </c>
      <c r="B66" s="36" t="n">
        <f aca="false">B6*(1+B13)^10</f>
        <v>450000</v>
      </c>
      <c r="C66" s="3" t="s">
        <v>165</v>
      </c>
    </row>
    <row r="67" customFormat="false" ht="15" hidden="false" customHeight="true" outlineLevel="0" collapsed="false">
      <c r="A67" s="31" t="s">
        <v>166</v>
      </c>
      <c r="B67" s="25" t="n">
        <v>0.05</v>
      </c>
      <c r="C67" s="3" t="s">
        <v>167</v>
      </c>
    </row>
    <row r="68" customFormat="false" ht="15" hidden="false" customHeight="true" outlineLevel="0" collapsed="false">
      <c r="A68" s="31" t="s">
        <v>168</v>
      </c>
      <c r="B68" s="25" t="n">
        <v>0.03</v>
      </c>
      <c r="C68" s="3" t="s">
        <v>169</v>
      </c>
    </row>
    <row r="69" customFormat="false" ht="15" hidden="false" customHeight="true" outlineLevel="0" collapsed="false">
      <c r="A69" s="4" t="s">
        <v>170</v>
      </c>
      <c r="B69" s="36" t="n">
        <f aca="false">B66*(1-B67)*(1-B68)</f>
        <v>414675</v>
      </c>
      <c r="C69" s="3"/>
    </row>
    <row r="70" customFormat="false" ht="15" hidden="false" customHeight="true" outlineLevel="0" collapsed="false">
      <c r="A70" s="4" t="s">
        <v>171</v>
      </c>
      <c r="B70" s="36" t="n">
        <f aca="false">B51*9.5</f>
        <v>75889.8</v>
      </c>
      <c r="C70" s="3" t="s">
        <v>172</v>
      </c>
    </row>
    <row r="71" customFormat="false" ht="15" hidden="false" customHeight="true" outlineLevel="0" collapsed="false">
      <c r="A71" s="4" t="s">
        <v>173</v>
      </c>
      <c r="B71" s="36" t="n">
        <f aca="false">B49-B70</f>
        <v>304510.2</v>
      </c>
      <c r="C71" s="3"/>
    </row>
    <row r="72" customFormat="false" ht="15" hidden="false" customHeight="true" outlineLevel="0" collapsed="false">
      <c r="A72" s="4" t="s">
        <v>174</v>
      </c>
      <c r="B72" s="36" t="n">
        <f aca="false">MAX(0,B69-B71)</f>
        <v>110164.8</v>
      </c>
      <c r="C72" s="3" t="s">
        <v>175</v>
      </c>
    </row>
    <row r="73" customFormat="false" ht="15" hidden="false" customHeight="true" outlineLevel="0" collapsed="false">
      <c r="A73" s="4" t="s">
        <v>176</v>
      </c>
      <c r="B73" s="36" t="n">
        <f aca="false">B72*B45</f>
        <v>26439.552</v>
      </c>
      <c r="C73" s="3" t="s">
        <v>177</v>
      </c>
    </row>
    <row r="74" customFormat="false" ht="15" hidden="false" customHeight="true" outlineLevel="0" collapsed="false">
      <c r="A74" s="4" t="s">
        <v>178</v>
      </c>
      <c r="B74" s="28" t="n">
        <f aca="false">B69-B73</f>
        <v>388235.448</v>
      </c>
      <c r="C74" s="3"/>
    </row>
    <row r="76" customFormat="false" ht="15" hidden="false" customHeight="true" outlineLevel="0" collapsed="false">
      <c r="A76" s="18" t="s">
        <v>179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Format="false" ht="15" hidden="false" customHeight="true" outlineLevel="0" collapsed="false">
      <c r="A77" s="31" t="s">
        <v>180</v>
      </c>
      <c r="B77" s="37" t="n">
        <v>0.0396</v>
      </c>
      <c r="C77" s="3" t="s">
        <v>181</v>
      </c>
    </row>
    <row r="78" customFormat="false" ht="15" hidden="false" customHeight="true" outlineLevel="0" collapsed="false">
      <c r="A78" s="31" t="s">
        <v>182</v>
      </c>
      <c r="B78" s="37" t="n">
        <v>0.0368</v>
      </c>
      <c r="C78" s="3" t="s">
        <v>183</v>
      </c>
    </row>
    <row r="79" customFormat="false" ht="15" hidden="false" customHeight="true" outlineLevel="0" collapsed="false">
      <c r="A79" s="31" t="s">
        <v>184</v>
      </c>
      <c r="B79" s="37" t="n">
        <v>0.0009</v>
      </c>
      <c r="C79" s="3" t="s">
        <v>185</v>
      </c>
    </row>
    <row r="80" customFormat="false" ht="15" hidden="false" customHeight="true" outlineLevel="0" collapsed="false">
      <c r="A80" s="4" t="s">
        <v>186</v>
      </c>
      <c r="B80" s="38" t="n">
        <f aca="false">B78-B79</f>
        <v>0.0359</v>
      </c>
      <c r="C80" s="3"/>
    </row>
    <row r="81" customFormat="false" ht="15" hidden="false" customHeight="true" outlineLevel="0" collapsed="false">
      <c r="A81" s="31" t="s">
        <v>187</v>
      </c>
      <c r="B81" s="37" t="n">
        <v>0.002</v>
      </c>
      <c r="C81" s="3" t="s">
        <v>188</v>
      </c>
    </row>
    <row r="82" customFormat="false" ht="15" hidden="false" customHeight="true" outlineLevel="0" collapsed="false">
      <c r="A82" s="31" t="s">
        <v>189</v>
      </c>
      <c r="B82" s="34" t="n">
        <v>1</v>
      </c>
      <c r="C82" s="3" t="s">
        <v>190</v>
      </c>
    </row>
    <row r="84" customFormat="false" ht="15" hidden="false" customHeight="true" outlineLevel="0" collapsed="false">
      <c r="A84" s="18" t="s">
        <v>191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Format="false" ht="15" hidden="false" customHeight="true" outlineLevel="0" collapsed="false">
      <c r="A85" s="31" t="s">
        <v>192</v>
      </c>
      <c r="B85" s="37" t="n">
        <v>0.025</v>
      </c>
      <c r="C85" s="3" t="s">
        <v>193</v>
      </c>
    </row>
    <row r="86" customFormat="false" ht="15" hidden="false" customHeight="true" outlineLevel="0" collapsed="false">
      <c r="A86" s="31" t="s">
        <v>194</v>
      </c>
      <c r="B86" s="25" t="n">
        <v>0.08</v>
      </c>
      <c r="C86" s="3" t="s">
        <v>195</v>
      </c>
    </row>
    <row r="88" customFormat="false" ht="15" hidden="false" customHeight="true" outlineLevel="0" collapsed="false">
      <c r="A88" s="18" t="s">
        <v>196</v>
      </c>
      <c r="B88" s="19"/>
      <c r="C88" s="19"/>
    </row>
    <row r="89" customFormat="false" ht="15" hidden="false" customHeight="true" outlineLevel="0" collapsed="false">
      <c r="A89" s="31" t="s">
        <v>197</v>
      </c>
      <c r="B89" s="25" t="n">
        <v>0</v>
      </c>
      <c r="C89" s="3" t="s">
        <v>198</v>
      </c>
    </row>
    <row r="90" customFormat="false" ht="15" hidden="false" customHeight="true" outlineLevel="0" collapsed="false">
      <c r="A90" s="31" t="s">
        <v>199</v>
      </c>
      <c r="B90" s="27" t="n">
        <v>0</v>
      </c>
      <c r="C90" s="3" t="s">
        <v>200</v>
      </c>
    </row>
    <row r="91" customFormat="false" ht="15" hidden="false" customHeight="true" outlineLevel="0" collapsed="false">
      <c r="A91" s="31" t="s">
        <v>201</v>
      </c>
      <c r="B91" s="27" t="n">
        <v>9000</v>
      </c>
      <c r="C91" s="3" t="s">
        <v>202</v>
      </c>
    </row>
    <row r="92" customFormat="false" ht="15" hidden="false" customHeight="true" outlineLevel="0" collapsed="false">
      <c r="A92" s="31" t="s">
        <v>203</v>
      </c>
      <c r="B92" s="27" t="n">
        <v>5000</v>
      </c>
      <c r="C92" s="3" t="s">
        <v>204</v>
      </c>
    </row>
    <row r="93" customFormat="false" ht="15" hidden="false" customHeight="true" outlineLevel="0" collapsed="false">
      <c r="A93" s="31" t="s">
        <v>205</v>
      </c>
      <c r="B93" s="27" t="n">
        <v>3000</v>
      </c>
      <c r="C93" s="3" t="s">
        <v>206</v>
      </c>
    </row>
    <row r="94" customFormat="false" ht="15" hidden="false" customHeight="true" outlineLevel="0" collapsed="false">
      <c r="A94" s="31" t="s">
        <v>207</v>
      </c>
      <c r="B94" s="27" t="n">
        <v>3000</v>
      </c>
      <c r="C94" s="3" t="s">
        <v>208</v>
      </c>
    </row>
    <row r="95" customFormat="false" ht="15" hidden="false" customHeight="true" outlineLevel="0" collapsed="false">
      <c r="A95" s="31" t="s">
        <v>209</v>
      </c>
      <c r="B95" s="35" t="n">
        <f aca="false">B9</f>
        <v>0.02</v>
      </c>
      <c r="C95" s="3" t="s">
        <v>210</v>
      </c>
    </row>
    <row r="96" customFormat="false" ht="15" hidden="false" customHeight="true" outlineLevel="0" collapsed="false">
      <c r="A96" s="31" t="s">
        <v>211</v>
      </c>
      <c r="B96" s="27" t="n">
        <v>0</v>
      </c>
      <c r="C96" s="3" t="s">
        <v>212</v>
      </c>
    </row>
    <row r="97" customFormat="false" ht="15" hidden="false" customHeight="true" outlineLevel="0" collapsed="false">
      <c r="A97" s="31" t="s">
        <v>213</v>
      </c>
      <c r="B97" s="27" t="n">
        <v>0</v>
      </c>
      <c r="C97" s="3" t="s">
        <v>214</v>
      </c>
    </row>
    <row r="98" customFormat="false" ht="15" hidden="false" customHeight="true" outlineLevel="0" collapsed="false">
      <c r="A98" s="31" t="s">
        <v>215</v>
      </c>
      <c r="B98" s="27" t="n">
        <v>0</v>
      </c>
      <c r="C98" s="3" t="s">
        <v>216</v>
      </c>
    </row>
    <row r="99" customFormat="false" ht="15" hidden="false" customHeight="true" outlineLevel="0" collapsed="false">
      <c r="A99" s="31" t="s">
        <v>217</v>
      </c>
      <c r="B99" s="37" t="n">
        <v>0.015</v>
      </c>
      <c r="C99" s="3" t="s">
        <v>218</v>
      </c>
    </row>
    <row r="100" customFormat="false" ht="15" hidden="false" customHeight="true" outlineLevel="0" collapsed="false">
      <c r="A100" s="31" t="s">
        <v>219</v>
      </c>
      <c r="B100" s="25" t="n">
        <v>0</v>
      </c>
      <c r="C100" s="3" t="s">
        <v>220</v>
      </c>
    </row>
    <row r="101" customFormat="false" ht="15" hidden="false" customHeight="true" outlineLevel="0" collapsed="false">
      <c r="A101" s="31" t="s">
        <v>221</v>
      </c>
      <c r="B101" s="36" t="n">
        <f aca="false">B6*(1+B99)^10</f>
        <v>522243.371261317</v>
      </c>
      <c r="C101" s="3"/>
    </row>
    <row r="102" customFormat="false" ht="15" hidden="false" customHeight="true" outlineLevel="0" collapsed="false">
      <c r="A102" s="31" t="s">
        <v>222</v>
      </c>
      <c r="B102" s="36" t="n">
        <f aca="false">B101*(1-B100)*(1-B68)</f>
        <v>506576.070123478</v>
      </c>
      <c r="C102" s="3"/>
    </row>
    <row r="103" customFormat="false" ht="15" hidden="false" customHeight="true" outlineLevel="0" collapsed="false">
      <c r="A103" s="31" t="s">
        <v>223</v>
      </c>
      <c r="B103" s="36" t="n">
        <f aca="false">MAX(0,B102-B71)</f>
        <v>202065.870123478</v>
      </c>
      <c r="C103" s="3" t="s">
        <v>224</v>
      </c>
    </row>
    <row r="104" customFormat="false" ht="15" hidden="false" customHeight="true" outlineLevel="0" collapsed="false">
      <c r="A104" s="31" t="s">
        <v>225</v>
      </c>
      <c r="B104" s="36" t="n">
        <f aca="false">B103*B45</f>
        <v>48495.8088296346</v>
      </c>
      <c r="C104" s="3"/>
    </row>
    <row r="105" customFormat="false" ht="15" hidden="false" customHeight="true" outlineLevel="0" collapsed="false">
      <c r="A105" s="4" t="s">
        <v>226</v>
      </c>
      <c r="B105" s="39" t="n">
        <f aca="false">B102-B104</f>
        <v>458080.261293843</v>
      </c>
      <c r="C105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13" min="2" style="1" width="12.5"/>
  </cols>
  <sheetData>
    <row r="1" customFormat="false" ht="18" hidden="false" customHeight="true" outlineLevel="0" collapsed="false">
      <c r="A1" s="2" t="s">
        <v>227</v>
      </c>
    </row>
    <row r="2" customFormat="false" ht="15" hidden="false" customHeight="true" outlineLevel="0" collapsed="false">
      <c r="A2" s="3" t="s">
        <v>228</v>
      </c>
    </row>
    <row r="4" customFormat="false" ht="15" hidden="false" customHeight="true" outlineLevel="0" collapsed="false">
      <c r="A4" s="18" t="s">
        <v>229</v>
      </c>
      <c r="B4" s="40" t="n">
        <v>0</v>
      </c>
      <c r="C4" s="40" t="n">
        <v>1</v>
      </c>
      <c r="D4" s="40" t="n">
        <v>2</v>
      </c>
      <c r="E4" s="40" t="n">
        <v>3</v>
      </c>
      <c r="F4" s="40" t="n">
        <v>4</v>
      </c>
      <c r="G4" s="40" t="n">
        <v>5</v>
      </c>
      <c r="H4" s="40" t="n">
        <v>6</v>
      </c>
      <c r="I4" s="40" t="n">
        <v>7</v>
      </c>
      <c r="J4" s="40" t="n">
        <v>8</v>
      </c>
      <c r="K4" s="40" t="n">
        <v>9</v>
      </c>
      <c r="L4" s="40" t="n">
        <v>10</v>
      </c>
    </row>
    <row r="5" customFormat="false" ht="15" hidden="false" customHeight="true" outlineLevel="0" collapsed="false">
      <c r="A5" s="31" t="s">
        <v>230</v>
      </c>
      <c r="B5" s="32"/>
      <c r="C5" s="32" t="n">
        <f aca="false">Assunzioni!$B$8*(1+Assunzioni!$B$11)^0</f>
        <v>42000</v>
      </c>
      <c r="D5" s="32" t="n">
        <f aca="false">Assunzioni!$B$8*(1+Assunzioni!$B$11)^1</f>
        <v>42630</v>
      </c>
      <c r="E5" s="32" t="n">
        <f aca="false">Assunzioni!$B$8*(1+Assunzioni!$B$11)^2</f>
        <v>43269.45</v>
      </c>
      <c r="F5" s="32" t="n">
        <f aca="false">Assunzioni!$B$8*(1+Assunzioni!$B$11)^3</f>
        <v>43918.49175</v>
      </c>
      <c r="G5" s="32" t="n">
        <f aca="false">Assunzioni!$B$8*(1+Assunzioni!$B$11)^4</f>
        <v>44577.26912625</v>
      </c>
      <c r="H5" s="32" t="n">
        <f aca="false">Assunzioni!$B$8*(1+Assunzioni!$B$11)^5</f>
        <v>45245.9281631437</v>
      </c>
      <c r="I5" s="32" t="n">
        <f aca="false">Assunzioni!$B$8*(1+Assunzioni!$B$11)^6</f>
        <v>45924.6170855909</v>
      </c>
      <c r="J5" s="32" t="n">
        <f aca="false">Assunzioni!$B$8*(1+Assunzioni!$B$11)^7</f>
        <v>46613.4863418747</v>
      </c>
      <c r="K5" s="32" t="n">
        <f aca="false">Assunzioni!$B$8*(1+Assunzioni!$B$11)^8</f>
        <v>47312.6886370029</v>
      </c>
      <c r="L5" s="32" t="n">
        <f aca="false">Assunzioni!$B$8*(1+Assunzioni!$B$11)^9</f>
        <v>48022.3789665579</v>
      </c>
    </row>
    <row r="6" customFormat="false" ht="15" hidden="false" customHeight="true" outlineLevel="0" collapsed="false">
      <c r="A6" s="31" t="s">
        <v>231</v>
      </c>
      <c r="B6" s="32"/>
      <c r="C6" s="32" t="n">
        <f aca="false">-C5*Assunzioni!$B$12</f>
        <v>-3780</v>
      </c>
      <c r="D6" s="32" t="n">
        <f aca="false">-D5*Assunzioni!$B$12</f>
        <v>-3836.7</v>
      </c>
      <c r="E6" s="32" t="n">
        <f aca="false">-E5*Assunzioni!$B$12</f>
        <v>-3894.2505</v>
      </c>
      <c r="F6" s="32" t="n">
        <f aca="false">-F5*Assunzioni!$B$12</f>
        <v>-3952.6642575</v>
      </c>
      <c r="G6" s="32" t="n">
        <f aca="false">-G5*Assunzioni!$B$12</f>
        <v>-4011.9542213625</v>
      </c>
      <c r="H6" s="32" t="n">
        <f aca="false">-H5*Assunzioni!$B$12</f>
        <v>-4072.13353468294</v>
      </c>
      <c r="I6" s="32" t="n">
        <f aca="false">-I5*Assunzioni!$B$12</f>
        <v>-4133.21553770318</v>
      </c>
      <c r="J6" s="32" t="n">
        <f aca="false">-J5*Assunzioni!$B$12</f>
        <v>-4195.21377076873</v>
      </c>
      <c r="K6" s="32" t="n">
        <f aca="false">-K5*Assunzioni!$B$12</f>
        <v>-4258.14197733026</v>
      </c>
      <c r="L6" s="32" t="n">
        <f aca="false">-L5*Assunzioni!$B$12</f>
        <v>-4322.01410699021</v>
      </c>
    </row>
    <row r="7" customFormat="false" ht="15" hidden="false" customHeight="true" outlineLevel="0" collapsed="false">
      <c r="A7" s="31" t="s">
        <v>232</v>
      </c>
      <c r="B7" s="32"/>
      <c r="C7" s="32" t="n">
        <f aca="false">-Assunzioni!$B$42</f>
        <v>-793.5</v>
      </c>
      <c r="D7" s="32" t="n">
        <f aca="false">-Assunzioni!$B$42</f>
        <v>-793.5</v>
      </c>
      <c r="E7" s="32" t="n">
        <f aca="false">-Assunzioni!$B$42</f>
        <v>-793.5</v>
      </c>
      <c r="F7" s="32" t="n">
        <f aca="false">-Assunzioni!$B$42</f>
        <v>-793.5</v>
      </c>
      <c r="G7" s="32" t="n">
        <f aca="false">-Assunzioni!$B$42</f>
        <v>-793.5</v>
      </c>
      <c r="H7" s="32" t="n">
        <f aca="false">-Assunzioni!$B$42</f>
        <v>-793.5</v>
      </c>
      <c r="I7" s="32" t="n">
        <f aca="false">-Assunzioni!$B$42</f>
        <v>-793.5</v>
      </c>
      <c r="J7" s="32" t="n">
        <f aca="false">-Assunzioni!$B$42</f>
        <v>-793.5</v>
      </c>
      <c r="K7" s="32" t="n">
        <f aca="false">-Assunzioni!$B$42</f>
        <v>-793.5</v>
      </c>
      <c r="L7" s="32" t="n">
        <f aca="false">-Assunzioni!$B$42</f>
        <v>-793.5</v>
      </c>
    </row>
    <row r="8" customFormat="false" ht="15" hidden="false" customHeight="true" outlineLevel="0" collapsed="false">
      <c r="A8" s="41" t="s">
        <v>233</v>
      </c>
      <c r="B8" s="42"/>
      <c r="C8" s="42" t="n">
        <f aca="false">SUM(C5:C7)</f>
        <v>37426.5</v>
      </c>
      <c r="D8" s="42" t="n">
        <f aca="false">SUM(D5:D7)</f>
        <v>37999.8</v>
      </c>
      <c r="E8" s="42" t="n">
        <f aca="false">SUM(E5:E7)</f>
        <v>38581.6995</v>
      </c>
      <c r="F8" s="42" t="n">
        <f aca="false">SUM(F5:F7)</f>
        <v>39172.3274925</v>
      </c>
      <c r="G8" s="42" t="n">
        <f aca="false">SUM(G5:G7)</f>
        <v>39771.8149048875</v>
      </c>
      <c r="H8" s="42" t="n">
        <f aca="false">SUM(H5:H7)</f>
        <v>40380.2946284608</v>
      </c>
      <c r="I8" s="42" t="n">
        <f aca="false">SUM(I5:I7)</f>
        <v>40997.9015478877</v>
      </c>
      <c r="J8" s="42" t="n">
        <f aca="false">SUM(J5:J7)</f>
        <v>41624.772571106</v>
      </c>
      <c r="K8" s="42" t="n">
        <f aca="false">SUM(K5:K7)</f>
        <v>42261.0466596726</v>
      </c>
      <c r="L8" s="42" t="n">
        <f aca="false">SUM(L5:L7)</f>
        <v>42906.8648595677</v>
      </c>
    </row>
    <row r="9" customFormat="false" ht="15" hidden="false" customHeight="true" outlineLevel="0" collapsed="false">
      <c r="A9" s="31" t="s">
        <v>234</v>
      </c>
      <c r="B9" s="32"/>
      <c r="C9" s="32" t="n">
        <f aca="false">-(Assunzioni!$B$26+Assunzioni!$B$27)</f>
        <v>-12000</v>
      </c>
      <c r="D9" s="32" t="n">
        <f aca="false">-(Assunzioni!$B$26+Assunzioni!$B$27)</f>
        <v>-12000</v>
      </c>
      <c r="E9" s="32" t="n">
        <f aca="false">-(Assunzioni!$B$26+Assunzioni!$B$27)</f>
        <v>-12000</v>
      </c>
      <c r="F9" s="32" t="n">
        <f aca="false">-(Assunzioni!$B$26+Assunzioni!$B$27)</f>
        <v>-12000</v>
      </c>
      <c r="G9" s="32" t="n">
        <f aca="false">-(Assunzioni!$B$26+Assunzioni!$B$27)</f>
        <v>-12000</v>
      </c>
      <c r="H9" s="32" t="n">
        <f aca="false">-(Assunzioni!$B$26+Assunzioni!$B$27)</f>
        <v>-12000</v>
      </c>
      <c r="I9" s="32" t="n">
        <f aca="false">-(Assunzioni!$B$26+Assunzioni!$B$27)</f>
        <v>-12000</v>
      </c>
      <c r="J9" s="32" t="n">
        <f aca="false">-(Assunzioni!$B$26+Assunzioni!$B$27)</f>
        <v>-12000</v>
      </c>
      <c r="K9" s="32" t="n">
        <f aca="false">-(Assunzioni!$B$26+Assunzioni!$B$27)</f>
        <v>-12000</v>
      </c>
      <c r="L9" s="32" t="n">
        <f aca="false">-(Assunzioni!$B$26+Assunzioni!$B$27)</f>
        <v>-12000</v>
      </c>
    </row>
    <row r="10" customFormat="false" ht="15" hidden="false" customHeight="true" outlineLevel="0" collapsed="false">
      <c r="A10" s="31" t="s">
        <v>235</v>
      </c>
      <c r="B10" s="32"/>
      <c r="C10" s="32" t="n">
        <f aca="false">-Assunzioni!$B$28*(1+Assunzioni!$B$9)^0</f>
        <v>-7000</v>
      </c>
      <c r="D10" s="32" t="n">
        <f aca="false">-Assunzioni!$B$28*(1+Assunzioni!$B$9)^1</f>
        <v>-7140</v>
      </c>
      <c r="E10" s="32" t="n">
        <f aca="false">-Assunzioni!$B$28*(1+Assunzioni!$B$9)^2</f>
        <v>-7282.8</v>
      </c>
      <c r="F10" s="32" t="n">
        <f aca="false">-Assunzioni!$B$28*(1+Assunzioni!$B$9)^3</f>
        <v>-7428.456</v>
      </c>
      <c r="G10" s="32" t="n">
        <f aca="false">-Assunzioni!$B$28*(1+Assunzioni!$B$9)^4</f>
        <v>-7577.02512</v>
      </c>
      <c r="H10" s="32" t="n">
        <f aca="false">-Assunzioni!$B$28*(1+Assunzioni!$B$9)^5</f>
        <v>-7728.5656224</v>
      </c>
      <c r="I10" s="32" t="n">
        <f aca="false">-Assunzioni!$B$28*(1+Assunzioni!$B$9)^6</f>
        <v>-7883.136934848</v>
      </c>
      <c r="J10" s="32" t="n">
        <f aca="false">-Assunzioni!$B$28*(1+Assunzioni!$B$9)^7</f>
        <v>-8040.79967354496</v>
      </c>
      <c r="K10" s="32" t="n">
        <f aca="false">-Assunzioni!$B$28*(1+Assunzioni!$B$9)^8</f>
        <v>-8201.61566701586</v>
      </c>
      <c r="L10" s="32" t="n">
        <f aca="false">-Assunzioni!$B$28*(1+Assunzioni!$B$9)^9</f>
        <v>-8365.64798035618</v>
      </c>
    </row>
    <row r="11" customFormat="false" ht="15" hidden="false" customHeight="true" outlineLevel="0" collapsed="false">
      <c r="A11" s="31" t="s">
        <v>236</v>
      </c>
      <c r="B11" s="32"/>
      <c r="C11" s="32" t="n">
        <f aca="false">-Assunzioni!$B$29*(1+Assunzioni!$B$9)^0</f>
        <v>-5500</v>
      </c>
      <c r="D11" s="32" t="n">
        <f aca="false">-Assunzioni!$B$29*(1+Assunzioni!$B$9)^1</f>
        <v>-5610</v>
      </c>
      <c r="E11" s="32" t="n">
        <f aca="false">-Assunzioni!$B$29*(1+Assunzioni!$B$9)^2</f>
        <v>-5722.2</v>
      </c>
      <c r="F11" s="32" t="n">
        <f aca="false">-Assunzioni!$B$29*(1+Assunzioni!$B$9)^3</f>
        <v>-5836.644</v>
      </c>
      <c r="G11" s="32" t="n">
        <f aca="false">-Assunzioni!$B$29*(1+Assunzioni!$B$9)^4</f>
        <v>-5953.37688</v>
      </c>
      <c r="H11" s="32" t="n">
        <f aca="false">-Assunzioni!$B$29*(1+Assunzioni!$B$9)^5</f>
        <v>-6072.4444176</v>
      </c>
      <c r="I11" s="32" t="n">
        <f aca="false">-Assunzioni!$B$29*(1+Assunzioni!$B$9)^6</f>
        <v>-6193.893305952</v>
      </c>
      <c r="J11" s="32" t="n">
        <f aca="false">-Assunzioni!$B$29*(1+Assunzioni!$B$9)^7</f>
        <v>-6317.77117207104</v>
      </c>
      <c r="K11" s="32" t="n">
        <f aca="false">-Assunzioni!$B$29*(1+Assunzioni!$B$9)^8</f>
        <v>-6444.12659551246</v>
      </c>
      <c r="L11" s="32" t="n">
        <f aca="false">-Assunzioni!$B$29*(1+Assunzioni!$B$9)^9</f>
        <v>-6573.00912742271</v>
      </c>
    </row>
    <row r="12" customFormat="false" ht="15" hidden="false" customHeight="true" outlineLevel="0" collapsed="false">
      <c r="A12" s="31" t="s">
        <v>237</v>
      </c>
      <c r="B12" s="32"/>
      <c r="C12" s="32" t="n">
        <f aca="false">-Assunzioni!$B$30*(1+Assunzioni!$B$9)^0</f>
        <v>-3000</v>
      </c>
      <c r="D12" s="32" t="n">
        <f aca="false">-Assunzioni!$B$30*(1+Assunzioni!$B$9)^1</f>
        <v>-3060</v>
      </c>
      <c r="E12" s="32" t="n">
        <f aca="false">-Assunzioni!$B$30*(1+Assunzioni!$B$9)^2</f>
        <v>-3121.2</v>
      </c>
      <c r="F12" s="32" t="n">
        <f aca="false">-Assunzioni!$B$30*(1+Assunzioni!$B$9)^3</f>
        <v>-3183.624</v>
      </c>
      <c r="G12" s="32" t="n">
        <f aca="false">-Assunzioni!$B$30*(1+Assunzioni!$B$9)^4</f>
        <v>-3247.29648</v>
      </c>
      <c r="H12" s="32" t="n">
        <f aca="false">-Assunzioni!$B$30*(1+Assunzioni!$B$9)^5</f>
        <v>-3312.2424096</v>
      </c>
      <c r="I12" s="32" t="n">
        <f aca="false">-Assunzioni!$B$30*(1+Assunzioni!$B$9)^6</f>
        <v>-3378.487257792</v>
      </c>
      <c r="J12" s="32" t="n">
        <f aca="false">-Assunzioni!$B$30*(1+Assunzioni!$B$9)^7</f>
        <v>-3446.05700294784</v>
      </c>
      <c r="K12" s="32" t="n">
        <f aca="false">-Assunzioni!$B$30*(1+Assunzioni!$B$9)^8</f>
        <v>-3514.9781430068</v>
      </c>
      <c r="L12" s="32" t="n">
        <f aca="false">-Assunzioni!$B$30*(1+Assunzioni!$B$9)^9</f>
        <v>-3585.27770586693</v>
      </c>
    </row>
    <row r="13" customFormat="false" ht="15" hidden="false" customHeight="true" outlineLevel="0" collapsed="false">
      <c r="A13" s="31" t="s">
        <v>238</v>
      </c>
      <c r="B13" s="32"/>
      <c r="C13" s="32" t="n">
        <f aca="false">-C8*Assunzioni!$B$31</f>
        <v>-187.1325</v>
      </c>
      <c r="D13" s="32" t="n">
        <f aca="false">-D8*Assunzioni!$B$31</f>
        <v>-189.999</v>
      </c>
      <c r="E13" s="32" t="n">
        <f aca="false">-E8*Assunzioni!$B$31</f>
        <v>-192.9084975</v>
      </c>
      <c r="F13" s="32" t="n">
        <f aca="false">-F8*Assunzioni!$B$31</f>
        <v>-195.8616374625</v>
      </c>
      <c r="G13" s="32" t="n">
        <f aca="false">-G8*Assunzioni!$B$31</f>
        <v>-198.859074524437</v>
      </c>
      <c r="H13" s="32" t="n">
        <f aca="false">-H8*Assunzioni!$B$31</f>
        <v>-201.901473142304</v>
      </c>
      <c r="I13" s="32" t="n">
        <f aca="false">-I8*Assunzioni!$B$31</f>
        <v>-204.989507739439</v>
      </c>
      <c r="J13" s="32" t="n">
        <f aca="false">-J8*Assunzioni!$B$31</f>
        <v>-208.12386285553</v>
      </c>
      <c r="K13" s="32" t="n">
        <f aca="false">-K8*Assunzioni!$B$31</f>
        <v>-211.305233298363</v>
      </c>
      <c r="L13" s="32" t="n">
        <f aca="false">-L8*Assunzioni!$B$31</f>
        <v>-214.534324297838</v>
      </c>
    </row>
    <row r="14" customFormat="false" ht="15" hidden="false" customHeight="true" outlineLevel="0" collapsed="false">
      <c r="A14" s="43" t="s">
        <v>239</v>
      </c>
      <c r="B14" s="44"/>
      <c r="C14" s="44" t="n">
        <f aca="false">SUM(C9:C13)</f>
        <v>-27687.1325</v>
      </c>
      <c r="D14" s="44" t="n">
        <f aca="false">SUM(D9:D13)</f>
        <v>-27999.999</v>
      </c>
      <c r="E14" s="44" t="n">
        <f aca="false">SUM(E9:E13)</f>
        <v>-28319.1084975</v>
      </c>
      <c r="F14" s="44" t="n">
        <f aca="false">SUM(F9:F13)</f>
        <v>-28644.5856374625</v>
      </c>
      <c r="G14" s="44" t="n">
        <f aca="false">SUM(G9:G13)</f>
        <v>-28976.5575545244</v>
      </c>
      <c r="H14" s="44" t="n">
        <f aca="false">SUM(H9:H13)</f>
        <v>-29315.1539227423</v>
      </c>
      <c r="I14" s="44" t="n">
        <f aca="false">SUM(I9:I13)</f>
        <v>-29660.5070063314</v>
      </c>
      <c r="J14" s="44" t="n">
        <f aca="false">SUM(J9:J13)</f>
        <v>-30012.7517114194</v>
      </c>
      <c r="K14" s="44" t="n">
        <f aca="false">SUM(K9:K13)</f>
        <v>-30372.0256388335</v>
      </c>
      <c r="L14" s="44" t="n">
        <f aca="false">SUM(L9:L13)</f>
        <v>-30738.4691379437</v>
      </c>
    </row>
    <row r="15" customFormat="false" ht="15" hidden="false" customHeight="true" outlineLevel="0" collapsed="false">
      <c r="A15" s="45" t="s">
        <v>240</v>
      </c>
      <c r="B15" s="46"/>
      <c r="C15" s="46" t="n">
        <f aca="false">C8+C14</f>
        <v>9739.3675</v>
      </c>
      <c r="D15" s="46" t="n">
        <f aca="false">D8+D14</f>
        <v>9999.801</v>
      </c>
      <c r="E15" s="46" t="n">
        <f aca="false">E8+E14</f>
        <v>10262.5910025</v>
      </c>
      <c r="F15" s="46" t="n">
        <f aca="false">F8+F14</f>
        <v>10527.7418550375</v>
      </c>
      <c r="G15" s="46" t="n">
        <f aca="false">G8+G14</f>
        <v>10795.2573503631</v>
      </c>
      <c r="H15" s="46" t="n">
        <f aca="false">H8+H14</f>
        <v>11065.1407057185</v>
      </c>
      <c r="I15" s="46" t="n">
        <f aca="false">I8+I14</f>
        <v>11337.3945415563</v>
      </c>
      <c r="J15" s="46" t="n">
        <f aca="false">J8+J14</f>
        <v>11612.0208596866</v>
      </c>
      <c r="K15" s="46" t="n">
        <f aca="false">K8+K14</f>
        <v>11889.0210208391</v>
      </c>
      <c r="L15" s="46" t="n">
        <f aca="false">L8+L14</f>
        <v>12168.395721624</v>
      </c>
    </row>
    <row r="16" customFormat="false" ht="15" hidden="false" customHeight="true" outlineLevel="0" collapsed="false">
      <c r="A16" s="31" t="s">
        <v>241</v>
      </c>
      <c r="B16" s="32"/>
      <c r="C16" s="32" t="n">
        <f aca="false">-Assunzioni!$B$51*0.5</f>
        <v>-3994.2</v>
      </c>
      <c r="D16" s="32" t="n">
        <f aca="false">-Assunzioni!$B$51</f>
        <v>-7988.4</v>
      </c>
      <c r="E16" s="32" t="n">
        <f aca="false">-Assunzioni!$B$51</f>
        <v>-7988.4</v>
      </c>
      <c r="F16" s="32" t="n">
        <f aca="false">-Assunzioni!$B$51</f>
        <v>-7988.4</v>
      </c>
      <c r="G16" s="32" t="n">
        <f aca="false">-Assunzioni!$B$51</f>
        <v>-7988.4</v>
      </c>
      <c r="H16" s="32" t="n">
        <f aca="false">-Assunzioni!$B$51</f>
        <v>-7988.4</v>
      </c>
      <c r="I16" s="32" t="n">
        <f aca="false">-Assunzioni!$B$51</f>
        <v>-7988.4</v>
      </c>
      <c r="J16" s="32" t="n">
        <f aca="false">-Assunzioni!$B$51</f>
        <v>-7988.4</v>
      </c>
      <c r="K16" s="32" t="n">
        <f aca="false">-Assunzioni!$B$51</f>
        <v>-7988.4</v>
      </c>
      <c r="L16" s="32" t="n">
        <f aca="false">-Assunzioni!$B$51</f>
        <v>-7988.4</v>
      </c>
    </row>
    <row r="17" customFormat="false" ht="15" hidden="false" customHeight="true" outlineLevel="0" collapsed="false">
      <c r="A17" s="47" t="s">
        <v>242</v>
      </c>
      <c r="B17" s="48"/>
      <c r="C17" s="48" t="n">
        <f aca="false">C15+C16</f>
        <v>5745.1675</v>
      </c>
      <c r="D17" s="48" t="n">
        <f aca="false">D15+D16</f>
        <v>2011.401</v>
      </c>
      <c r="E17" s="48" t="n">
        <f aca="false">E15+E16</f>
        <v>2274.19100249999</v>
      </c>
      <c r="F17" s="48" t="n">
        <f aca="false">F15+F16</f>
        <v>2539.34185503748</v>
      </c>
      <c r="G17" s="48" t="n">
        <f aca="false">G15+G16</f>
        <v>2806.85735036306</v>
      </c>
      <c r="H17" s="48" t="n">
        <f aca="false">H15+H16</f>
        <v>3076.74070571848</v>
      </c>
      <c r="I17" s="48" t="n">
        <f aca="false">I15+I16</f>
        <v>3348.99454155626</v>
      </c>
      <c r="J17" s="48" t="n">
        <f aca="false">J15+J16</f>
        <v>3623.62085968664</v>
      </c>
      <c r="K17" s="48" t="n">
        <f aca="false">K15+K16</f>
        <v>3900.62102083912</v>
      </c>
      <c r="L17" s="48" t="n">
        <f aca="false">L15+L16</f>
        <v>4179.99572162403</v>
      </c>
    </row>
    <row r="19" customFormat="false" ht="15" hidden="false" customHeight="true" outlineLevel="0" collapsed="false">
      <c r="A19" s="4" t="s">
        <v>243</v>
      </c>
    </row>
    <row r="20" customFormat="false" ht="15" hidden="false" customHeight="true" outlineLevel="0" collapsed="false">
      <c r="A20" s="31" t="s">
        <v>244</v>
      </c>
      <c r="B20" s="32"/>
      <c r="C20" s="32" t="n">
        <f aca="false">C17</f>
        <v>5745.1675</v>
      </c>
      <c r="D20" s="32" t="n">
        <f aca="false">D17</f>
        <v>2011.401</v>
      </c>
      <c r="E20" s="32" t="n">
        <f aca="false">E17</f>
        <v>2274.19100249999</v>
      </c>
      <c r="F20" s="32" t="n">
        <f aca="false">F17</f>
        <v>2539.34185503748</v>
      </c>
      <c r="G20" s="32" t="n">
        <f aca="false">G17</f>
        <v>2806.85735036306</v>
      </c>
      <c r="H20" s="32" t="n">
        <f aca="false">H17</f>
        <v>3076.74070571848</v>
      </c>
      <c r="I20" s="32" t="n">
        <f aca="false">I17</f>
        <v>3348.99454155626</v>
      </c>
      <c r="J20" s="32" t="n">
        <f aca="false">J17</f>
        <v>3623.62085968664</v>
      </c>
      <c r="K20" s="32" t="n">
        <f aca="false">K17</f>
        <v>3900.62102083912</v>
      </c>
      <c r="L20" s="32" t="n">
        <f aca="false">L17</f>
        <v>4179.99572162403</v>
      </c>
    </row>
    <row r="21" customFormat="false" ht="15" hidden="false" customHeight="true" outlineLevel="0" collapsed="false">
      <c r="A21" s="31" t="s">
        <v>245</v>
      </c>
      <c r="B21" s="32"/>
      <c r="C21" s="32" t="n">
        <f aca="false">-MAX(0,C20)*Assunzioni!$B$45</f>
        <v>-1378.8402</v>
      </c>
      <c r="D21" s="32" t="n">
        <f aca="false">-MAX(0,D20)*Assunzioni!$B$45</f>
        <v>-482.736239999999</v>
      </c>
      <c r="E21" s="32" t="n">
        <f aca="false">-MAX(0,E20)*Assunzioni!$B$45</f>
        <v>-545.805840599997</v>
      </c>
      <c r="F21" s="32" t="n">
        <f aca="false">-MAX(0,F20)*Assunzioni!$B$45</f>
        <v>-609.442045208996</v>
      </c>
      <c r="G21" s="32" t="n">
        <f aca="false">-MAX(0,G20)*Assunzioni!$B$45</f>
        <v>-673.645764087133</v>
      </c>
      <c r="H21" s="32" t="n">
        <f aca="false">-MAX(0,H20)*Assunzioni!$B$45</f>
        <v>-738.417769372436</v>
      </c>
      <c r="I21" s="32" t="n">
        <f aca="false">-MAX(0,I20)*Assunzioni!$B$45</f>
        <v>-803.758689973501</v>
      </c>
      <c r="J21" s="32" t="n">
        <f aca="false">-MAX(0,J20)*Assunzioni!$B$45</f>
        <v>-869.669006324794</v>
      </c>
      <c r="K21" s="32" t="n">
        <f aca="false">-MAX(0,K20)*Assunzioni!$B$45</f>
        <v>-936.149045001389</v>
      </c>
      <c r="L21" s="32" t="n">
        <f aca="false">-MAX(0,L20)*Assunzioni!$B$45</f>
        <v>-1003.19897318977</v>
      </c>
    </row>
    <row r="22" customFormat="false" ht="15" hidden="false" customHeight="true" outlineLevel="0" collapsed="false">
      <c r="A22" s="31" t="s">
        <v>246</v>
      </c>
      <c r="B22" s="32"/>
      <c r="C22" s="32" t="n">
        <f aca="false">C17-C9</f>
        <v>17745.1675</v>
      </c>
      <c r="D22" s="32" t="n">
        <f aca="false">D17-D9</f>
        <v>14011.401</v>
      </c>
      <c r="E22" s="32" t="n">
        <f aca="false">E17-E9</f>
        <v>14274.1910025</v>
      </c>
      <c r="F22" s="32" t="n">
        <f aca="false">F17-F9</f>
        <v>14539.3418550375</v>
      </c>
      <c r="G22" s="32" t="n">
        <f aca="false">G17-G9</f>
        <v>14806.8573503631</v>
      </c>
      <c r="H22" s="32" t="n">
        <f aca="false">H17-H9</f>
        <v>15076.7407057185</v>
      </c>
      <c r="I22" s="32" t="n">
        <f aca="false">I17-I9</f>
        <v>15348.9945415563</v>
      </c>
      <c r="J22" s="32" t="n">
        <f aca="false">J17-J9</f>
        <v>15623.6208596866</v>
      </c>
      <c r="K22" s="32" t="n">
        <f aca="false">K17-K9</f>
        <v>15900.6210208391</v>
      </c>
      <c r="L22" s="32" t="n">
        <f aca="false">L17-L9</f>
        <v>16179.995721624</v>
      </c>
    </row>
    <row r="23" customFormat="false" ht="15" hidden="false" customHeight="true" outlineLevel="0" collapsed="false">
      <c r="A23" s="31" t="s">
        <v>247</v>
      </c>
      <c r="B23" s="32"/>
      <c r="C23" s="32" t="n">
        <f aca="false">-MAX(0,C22)*Assunzioni!$B$46</f>
        <v>-692.0615325</v>
      </c>
      <c r="D23" s="32" t="n">
        <f aca="false">-MAX(0,D22)*Assunzioni!$B$46</f>
        <v>-546.444639</v>
      </c>
      <c r="E23" s="32" t="n">
        <f aca="false">-MAX(0,E22)*Assunzioni!$B$46</f>
        <v>-556.6934490975</v>
      </c>
      <c r="F23" s="32" t="n">
        <f aca="false">-MAX(0,F22)*Assunzioni!$B$46</f>
        <v>-567.034332346462</v>
      </c>
      <c r="G23" s="32" t="n">
        <f aca="false">-MAX(0,G22)*Assunzioni!$B$46</f>
        <v>-577.467436664159</v>
      </c>
      <c r="H23" s="32" t="n">
        <f aca="false">-MAX(0,H22)*Assunzioni!$B$46</f>
        <v>-587.992887523021</v>
      </c>
      <c r="I23" s="32" t="n">
        <f aca="false">-MAX(0,I22)*Assunzioni!$B$46</f>
        <v>-598.610787120694</v>
      </c>
      <c r="J23" s="32" t="n">
        <f aca="false">-MAX(0,J22)*Assunzioni!$B$46</f>
        <v>-609.321213527779</v>
      </c>
      <c r="K23" s="32" t="n">
        <f aca="false">-MAX(0,K22)*Assunzioni!$B$46</f>
        <v>-620.124219812726</v>
      </c>
      <c r="L23" s="32" t="n">
        <f aca="false">-MAX(0,L22)*Assunzioni!$B$46</f>
        <v>-631.019833143337</v>
      </c>
    </row>
    <row r="24" customFormat="false" ht="15" hidden="false" customHeight="true" outlineLevel="0" collapsed="false">
      <c r="A24" s="49" t="s">
        <v>248</v>
      </c>
      <c r="B24" s="50"/>
      <c r="C24" s="50" t="n">
        <f aca="false">C17+C21+C23</f>
        <v>3674.2657675</v>
      </c>
      <c r="D24" s="50" t="n">
        <f aca="false">D17+D21+D23</f>
        <v>982.220120999997</v>
      </c>
      <c r="E24" s="50" t="n">
        <f aca="false">E17+E21+E23</f>
        <v>1171.69171280249</v>
      </c>
      <c r="F24" s="50" t="n">
        <f aca="false">F17+F21+F23</f>
        <v>1362.86547748203</v>
      </c>
      <c r="G24" s="50" t="n">
        <f aca="false">G17+G21+G23</f>
        <v>1555.74414961176</v>
      </c>
      <c r="H24" s="50" t="n">
        <f aca="false">H17+H21+H23</f>
        <v>1750.33004882303</v>
      </c>
      <c r="I24" s="50" t="n">
        <f aca="false">I17+I21+I23</f>
        <v>1946.62506446206</v>
      </c>
      <c r="J24" s="50" t="n">
        <f aca="false">J17+J21+J23</f>
        <v>2144.63063983407</v>
      </c>
      <c r="K24" s="50" t="n">
        <f aca="false">K17+K21+K23</f>
        <v>2344.34775602501</v>
      </c>
      <c r="L24" s="50" t="n">
        <f aca="false">L17+L21+L23</f>
        <v>2545.77691529092</v>
      </c>
    </row>
    <row r="26" customFormat="false" ht="15" hidden="false" customHeight="true" outlineLevel="0" collapsed="false">
      <c r="A26" s="4" t="s">
        <v>249</v>
      </c>
    </row>
    <row r="27" customFormat="false" ht="15" hidden="false" customHeight="true" outlineLevel="0" collapsed="false">
      <c r="A27" s="31" t="s">
        <v>250</v>
      </c>
      <c r="B27" s="32"/>
      <c r="C27" s="32" t="n">
        <f aca="false">-C16</f>
        <v>3994.2</v>
      </c>
      <c r="D27" s="32" t="n">
        <f aca="false">-D16</f>
        <v>7988.4</v>
      </c>
      <c r="E27" s="32" t="n">
        <f aca="false">-E16</f>
        <v>7988.4</v>
      </c>
      <c r="F27" s="32" t="n">
        <f aca="false">-F16</f>
        <v>7988.4</v>
      </c>
      <c r="G27" s="32" t="n">
        <f aca="false">-G16</f>
        <v>7988.4</v>
      </c>
      <c r="H27" s="32" t="n">
        <f aca="false">-H16</f>
        <v>7988.4</v>
      </c>
      <c r="I27" s="32" t="n">
        <f aca="false">-I16</f>
        <v>7988.4</v>
      </c>
      <c r="J27" s="32" t="n">
        <f aca="false">-J16</f>
        <v>7988.4</v>
      </c>
      <c r="K27" s="32" t="n">
        <f aca="false">-K16</f>
        <v>7988.4</v>
      </c>
      <c r="L27" s="32" t="n">
        <f aca="false">-L16</f>
        <v>7988.4</v>
      </c>
    </row>
    <row r="28" customFormat="false" ht="15" hidden="false" customHeight="true" outlineLevel="0" collapsed="false">
      <c r="A28" s="31" t="s">
        <v>251</v>
      </c>
      <c r="B28" s="32"/>
      <c r="C28" s="32" t="n">
        <f aca="false">0</f>
        <v>0</v>
      </c>
      <c r="D28" s="32" t="n">
        <f aca="false">0</f>
        <v>0</v>
      </c>
      <c r="E28" s="32" t="n">
        <f aca="false">0</f>
        <v>0</v>
      </c>
      <c r="F28" s="32" t="n">
        <f aca="false">0</f>
        <v>0</v>
      </c>
      <c r="G28" s="32" t="n">
        <f aca="false">-Assunzioni!$B$34</f>
        <v>-30000</v>
      </c>
      <c r="H28" s="32" t="n">
        <f aca="false">0</f>
        <v>0</v>
      </c>
      <c r="I28" s="32" t="n">
        <f aca="false">0</f>
        <v>0</v>
      </c>
      <c r="J28" s="32" t="n">
        <f aca="false">-Assunzioni!$B$35</f>
        <v>-25000</v>
      </c>
      <c r="K28" s="32" t="n">
        <f aca="false">0</f>
        <v>0</v>
      </c>
      <c r="L28" s="32" t="n">
        <f aca="false">0</f>
        <v>0</v>
      </c>
    </row>
    <row r="29" customFormat="false" ht="15" hidden="false" customHeight="true" outlineLevel="0" collapsed="false">
      <c r="A29" s="31" t="s">
        <v>252</v>
      </c>
      <c r="B29" s="32"/>
      <c r="C29" s="32" t="n">
        <f aca="false">0</f>
        <v>0</v>
      </c>
      <c r="D29" s="32" t="n">
        <f aca="false">0</f>
        <v>0</v>
      </c>
      <c r="E29" s="32" t="n">
        <f aca="false">0</f>
        <v>0</v>
      </c>
      <c r="F29" s="32" t="n">
        <f aca="false">0</f>
        <v>0</v>
      </c>
      <c r="G29" s="32" t="n">
        <f aca="false">0</f>
        <v>0</v>
      </c>
      <c r="H29" s="32" t="n">
        <f aca="false">-Assunzioni!$B$36</f>
        <v>-10000</v>
      </c>
      <c r="I29" s="32" t="n">
        <f aca="false">0</f>
        <v>0</v>
      </c>
      <c r="J29" s="32" t="n">
        <f aca="false">0</f>
        <v>0</v>
      </c>
      <c r="K29" s="32" t="n">
        <f aca="false">0</f>
        <v>0</v>
      </c>
      <c r="L29" s="32" t="n">
        <f aca="false">0</f>
        <v>0</v>
      </c>
    </row>
    <row r="30" customFormat="false" ht="15" hidden="false" customHeight="true" outlineLevel="0" collapsed="false">
      <c r="A30" s="49" t="s">
        <v>253</v>
      </c>
      <c r="B30" s="50"/>
      <c r="C30" s="50" t="n">
        <f aca="false">C24+C27+C28+C29</f>
        <v>7668.4657675</v>
      </c>
      <c r="D30" s="50" t="n">
        <f aca="false">D24+D27+D28+D29</f>
        <v>8970.620121</v>
      </c>
      <c r="E30" s="50" t="n">
        <f aca="false">E24+E27+E28+E29</f>
        <v>9160.09171280249</v>
      </c>
      <c r="F30" s="50" t="n">
        <f aca="false">F24+F27+F28+F29</f>
        <v>9351.26547748203</v>
      </c>
      <c r="G30" s="50" t="n">
        <f aca="false">G24+G27+G28+G29</f>
        <v>-20455.8558503882</v>
      </c>
      <c r="H30" s="50" t="n">
        <f aca="false">H24+H27+H28+H29</f>
        <v>-261.269951176973</v>
      </c>
      <c r="I30" s="50" t="n">
        <f aca="false">I24+I27+I28+I29</f>
        <v>9935.02506446206</v>
      </c>
      <c r="J30" s="50" t="n">
        <f aca="false">J24+J27+J28+J29</f>
        <v>-14866.9693601659</v>
      </c>
      <c r="K30" s="50" t="n">
        <f aca="false">K24+K27+K28+K29</f>
        <v>10332.747756025</v>
      </c>
      <c r="L30" s="50" t="n">
        <f aca="false">L24+L27+L28+L29</f>
        <v>10534.1769152909</v>
      </c>
    </row>
    <row r="32" customFormat="false" ht="15" hidden="false" customHeight="true" outlineLevel="0" collapsed="false">
      <c r="A32" s="31" t="s">
        <v>254</v>
      </c>
      <c r="B32" s="32" t="n">
        <f aca="false">-Assunzioni!$B$23</f>
        <v>-385400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customFormat="false" ht="15" hidden="false" customHeight="true" outlineLevel="0" collapsed="false">
      <c r="A33" s="31" t="s">
        <v>255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 t="n">
        <f aca="false">Assunzioni!$B$74</f>
        <v>388235.448</v>
      </c>
    </row>
    <row r="34" customFormat="false" ht="15" hidden="false" customHeight="true" outlineLevel="0" collapsed="false">
      <c r="A34" s="41" t="s">
        <v>256</v>
      </c>
      <c r="B34" s="42" t="n">
        <f aca="false">B32</f>
        <v>-385400</v>
      </c>
      <c r="C34" s="42" t="n">
        <f aca="false">C30</f>
        <v>7668.4657675</v>
      </c>
      <c r="D34" s="42" t="n">
        <f aca="false">D30</f>
        <v>8970.620121</v>
      </c>
      <c r="E34" s="42" t="n">
        <f aca="false">E30</f>
        <v>9160.09171280249</v>
      </c>
      <c r="F34" s="42" t="n">
        <f aca="false">F30</f>
        <v>9351.26547748203</v>
      </c>
      <c r="G34" s="42" t="n">
        <f aca="false">G30</f>
        <v>-20455.8558503882</v>
      </c>
      <c r="H34" s="42" t="n">
        <f aca="false">H30</f>
        <v>-261.269951176973</v>
      </c>
      <c r="I34" s="42" t="n">
        <f aca="false">I30</f>
        <v>9935.02506446206</v>
      </c>
      <c r="J34" s="42" t="n">
        <f aca="false">J30</f>
        <v>-14866.9693601659</v>
      </c>
      <c r="K34" s="42" t="n">
        <f aca="false">K30</f>
        <v>10332.747756025</v>
      </c>
      <c r="L34" s="42" t="n">
        <f aca="false">L30+L33</f>
        <v>398769.624915291</v>
      </c>
    </row>
    <row r="35" customFormat="false" ht="15" hidden="false" customHeight="true" outlineLevel="0" collapsed="false">
      <c r="A35" s="31" t="s">
        <v>257</v>
      </c>
      <c r="B35" s="32" t="n">
        <f aca="false">B34</f>
        <v>-385400</v>
      </c>
      <c r="C35" s="32" t="n">
        <f aca="false">B35+C34</f>
        <v>-377731.5342325</v>
      </c>
      <c r="D35" s="32" t="n">
        <f aca="false">C35+D34</f>
        <v>-368760.9141115</v>
      </c>
      <c r="E35" s="32" t="n">
        <f aca="false">D35+E34</f>
        <v>-359600.822398698</v>
      </c>
      <c r="F35" s="32" t="n">
        <f aca="false">E35+F34</f>
        <v>-350249.556921216</v>
      </c>
      <c r="G35" s="32" t="n">
        <f aca="false">F35+G34</f>
        <v>-370705.412771604</v>
      </c>
      <c r="H35" s="32" t="n">
        <f aca="false">G35+H34</f>
        <v>-370966.682722781</v>
      </c>
      <c r="I35" s="32" t="n">
        <f aca="false">H35+I34</f>
        <v>-361031.657658319</v>
      </c>
      <c r="J35" s="32" t="n">
        <f aca="false">I35+J34</f>
        <v>-375898.627018485</v>
      </c>
      <c r="K35" s="32" t="n">
        <f aca="false">J35+K34</f>
        <v>-365565.87926246</v>
      </c>
      <c r="L35" s="32" t="n">
        <f aca="false">K35+L34</f>
        <v>33203.7456528313</v>
      </c>
    </row>
    <row r="36" customFormat="false" ht="15" hidden="false" customHeight="true" outlineLevel="0" collapsed="false">
      <c r="A36" s="31" t="s">
        <v>258</v>
      </c>
      <c r="B36" s="32" t="n">
        <f aca="false">0</f>
        <v>0</v>
      </c>
      <c r="C36" s="32" t="n">
        <f aca="false">B36*(1+Assunzioni!$B$85)+C30</f>
        <v>7668.4657675</v>
      </c>
      <c r="D36" s="32" t="n">
        <f aca="false">C36*(1+Assunzioni!$B$85)+D30</f>
        <v>16830.7975326875</v>
      </c>
      <c r="E36" s="32" t="n">
        <f aca="false">D36*(1+Assunzioni!$B$85)+E30</f>
        <v>26411.6591838072</v>
      </c>
      <c r="F36" s="32" t="n">
        <f aca="false">E36*(1+Assunzioni!$B$85)+F30</f>
        <v>36423.2161408844</v>
      </c>
      <c r="G36" s="32" t="n">
        <f aca="false">F36*(1+Assunzioni!$B$85)+G30</f>
        <v>16877.9406940182</v>
      </c>
      <c r="H36" s="32" t="n">
        <f aca="false">G36*(1+Assunzioni!$B$85)+H30</f>
        <v>17038.6192601917</v>
      </c>
      <c r="I36" s="32" t="n">
        <f aca="false">H36*(1+Assunzioni!$B$85)+I30</f>
        <v>27399.6098061586</v>
      </c>
      <c r="J36" s="32" t="n">
        <f aca="false">I36*(1+Assunzioni!$B$85)+J30</f>
        <v>13217.6306911466</v>
      </c>
      <c r="K36" s="32" t="n">
        <f aca="false">J36*(1+Assunzioni!$B$85)+K30</f>
        <v>23880.8192144503</v>
      </c>
      <c r="L36" s="32" t="n">
        <f aca="false">K36*(1+Assunzioni!$B$85)+L30</f>
        <v>35012.0166101025</v>
      </c>
    </row>
    <row r="37" customFormat="false" ht="15" hidden="false" customHeight="true" outlineLevel="0" collapsed="false">
      <c r="A37" s="49" t="s">
        <v>259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 t="n">
        <f aca="false">L36+L33</f>
        <v>423247.464610102</v>
      </c>
    </row>
    <row r="40" customFormat="false" ht="15" hidden="false" customHeight="true" outlineLevel="0" collapsed="false">
      <c r="A40" s="18" t="s">
        <v>260</v>
      </c>
      <c r="B40" s="19"/>
      <c r="C40" s="19"/>
      <c r="D40" s="19"/>
    </row>
    <row r="41" customFormat="false" ht="15" hidden="false" customHeight="true" outlineLevel="0" collapsed="false">
      <c r="A41" s="4" t="s">
        <v>261</v>
      </c>
      <c r="B41" s="29" t="n">
        <f aca="false">IFERROR(IRR(B34:L34),"n.d.")</f>
        <v>0.00866093284082307</v>
      </c>
    </row>
    <row r="42" customFormat="false" ht="15" hidden="false" customHeight="true" outlineLevel="0" collapsed="false">
      <c r="A42" s="4" t="s">
        <v>262</v>
      </c>
      <c r="B42" s="51" t="n">
        <f aca="false">(SUM(C30:L30)+L33)/-B32</f>
        <v>1.08615398456884</v>
      </c>
    </row>
    <row r="43" customFormat="false" ht="15" hidden="false" customHeight="true" outlineLevel="0" collapsed="false">
      <c r="A43" s="4" t="s">
        <v>14</v>
      </c>
      <c r="B43" s="28" t="n">
        <f aca="false">L37</f>
        <v>423247.464610102</v>
      </c>
    </row>
    <row r="44" customFormat="false" ht="15" hidden="false" customHeight="true" outlineLevel="0" collapsed="false">
      <c r="A44" s="4" t="s">
        <v>263</v>
      </c>
      <c r="B44" s="29" t="n">
        <f aca="false">IFERROR((L37/-B32)^(1/10)-1,"n.d.")</f>
        <v>0.00941154008048284</v>
      </c>
    </row>
    <row r="45" customFormat="false" ht="15" hidden="false" customHeight="true" outlineLevel="0" collapsed="false">
      <c r="A45" s="4" t="s">
        <v>16</v>
      </c>
      <c r="B45" s="28" t="n">
        <f aca="false">NPV(Assunzioni!$B$86,C34:L34)+B34</f>
        <v>-182908.957953576</v>
      </c>
    </row>
    <row r="46" customFormat="false" ht="15" hidden="false" customHeight="true" outlineLevel="0" collapsed="false">
      <c r="A46" s="4" t="s">
        <v>264</v>
      </c>
      <c r="B46" s="29" t="n">
        <f aca="false">C30/-B32</f>
        <v>0.0198974202581733</v>
      </c>
    </row>
    <row r="47" customFormat="false" ht="15" hidden="false" customHeight="true" outlineLevel="0" collapsed="false">
      <c r="A47" s="4" t="s">
        <v>265</v>
      </c>
      <c r="B47" s="29" t="n">
        <f aca="false">AVERAGE(C30:L30)/-B32</f>
        <v>0.00787968283674919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13" min="2" style="1" width="12.5"/>
  </cols>
  <sheetData>
    <row r="1" customFormat="false" ht="18" hidden="false" customHeight="true" outlineLevel="0" collapsed="false">
      <c r="A1" s="2" t="s">
        <v>266</v>
      </c>
    </row>
    <row r="2" customFormat="false" ht="15" hidden="false" customHeight="true" outlineLevel="0" collapsed="false">
      <c r="A2" s="3" t="s">
        <v>267</v>
      </c>
    </row>
    <row r="4" customFormat="false" ht="15" hidden="false" customHeight="true" outlineLevel="0" collapsed="false">
      <c r="A4" s="18" t="s">
        <v>229</v>
      </c>
      <c r="B4" s="40" t="n">
        <v>0</v>
      </c>
      <c r="C4" s="40" t="n">
        <v>1</v>
      </c>
      <c r="D4" s="40" t="n">
        <v>2</v>
      </c>
      <c r="E4" s="40" t="n">
        <v>3</v>
      </c>
      <c r="F4" s="40" t="n">
        <v>4</v>
      </c>
      <c r="G4" s="40" t="n">
        <v>5</v>
      </c>
      <c r="H4" s="40" t="n">
        <v>6</v>
      </c>
      <c r="I4" s="40" t="n">
        <v>7</v>
      </c>
      <c r="J4" s="40" t="n">
        <v>8</v>
      </c>
      <c r="K4" s="40" t="n">
        <v>9</v>
      </c>
      <c r="L4" s="40" t="n">
        <v>10</v>
      </c>
    </row>
    <row r="5" customFormat="false" ht="15" hidden="false" customHeight="true" outlineLevel="0" collapsed="false">
      <c r="A5" s="31" t="s">
        <v>230</v>
      </c>
      <c r="B5" s="32"/>
      <c r="C5" s="32" t="n">
        <f aca="false">Assunzioni!$B$8*(1+Assunzioni!$B$11)^0</f>
        <v>42000</v>
      </c>
      <c r="D5" s="32" t="n">
        <f aca="false">Assunzioni!$B$8*(1+Assunzioni!$B$11)^1</f>
        <v>42630</v>
      </c>
      <c r="E5" s="32" t="n">
        <f aca="false">Assunzioni!$B$8*(1+Assunzioni!$B$11)^2</f>
        <v>43269.45</v>
      </c>
      <c r="F5" s="32" t="n">
        <f aca="false">Assunzioni!$B$8*(1+Assunzioni!$B$11)^3</f>
        <v>43918.49175</v>
      </c>
      <c r="G5" s="32" t="n">
        <f aca="false">Assunzioni!$B$8*(1+Assunzioni!$B$11)^4</f>
        <v>44577.26912625</v>
      </c>
      <c r="H5" s="32" t="n">
        <f aca="false">Assunzioni!$B$8*(1+Assunzioni!$B$11)^5</f>
        <v>45245.9281631437</v>
      </c>
      <c r="I5" s="32" t="n">
        <f aca="false">Assunzioni!$B$8*(1+Assunzioni!$B$11)^6</f>
        <v>45924.6170855909</v>
      </c>
      <c r="J5" s="32" t="n">
        <f aca="false">Assunzioni!$B$8*(1+Assunzioni!$B$11)^7</f>
        <v>46613.4863418747</v>
      </c>
      <c r="K5" s="32" t="n">
        <f aca="false">Assunzioni!$B$8*(1+Assunzioni!$B$11)^8</f>
        <v>47312.6886370029</v>
      </c>
      <c r="L5" s="32" t="n">
        <f aca="false">Assunzioni!$B$8*(1+Assunzioni!$B$11)^9</f>
        <v>48022.3789665579</v>
      </c>
    </row>
    <row r="6" customFormat="false" ht="15" hidden="false" customHeight="true" outlineLevel="0" collapsed="false">
      <c r="A6" s="31" t="s">
        <v>231</v>
      </c>
      <c r="B6" s="32"/>
      <c r="C6" s="32" t="n">
        <f aca="false">-C5*Assunzioni!$B$12</f>
        <v>-3780</v>
      </c>
      <c r="D6" s="32" t="n">
        <f aca="false">-D5*Assunzioni!$B$12</f>
        <v>-3836.7</v>
      </c>
      <c r="E6" s="32" t="n">
        <f aca="false">-E5*Assunzioni!$B$12</f>
        <v>-3894.2505</v>
      </c>
      <c r="F6" s="32" t="n">
        <f aca="false">-F5*Assunzioni!$B$12</f>
        <v>-3952.6642575</v>
      </c>
      <c r="G6" s="32" t="n">
        <f aca="false">-G5*Assunzioni!$B$12</f>
        <v>-4011.9542213625</v>
      </c>
      <c r="H6" s="32" t="n">
        <f aca="false">-H5*Assunzioni!$B$12</f>
        <v>-4072.13353468294</v>
      </c>
      <c r="I6" s="32" t="n">
        <f aca="false">-I5*Assunzioni!$B$12</f>
        <v>-4133.21553770318</v>
      </c>
      <c r="J6" s="32" t="n">
        <f aca="false">-J5*Assunzioni!$B$12</f>
        <v>-4195.21377076873</v>
      </c>
      <c r="K6" s="32" t="n">
        <f aca="false">-K5*Assunzioni!$B$12</f>
        <v>-4258.14197733026</v>
      </c>
      <c r="L6" s="32" t="n">
        <f aca="false">-L5*Assunzioni!$B$12</f>
        <v>-4322.01410699021</v>
      </c>
    </row>
    <row r="7" customFormat="false" ht="15" hidden="false" customHeight="true" outlineLevel="0" collapsed="false">
      <c r="A7" s="31" t="s">
        <v>232</v>
      </c>
      <c r="B7" s="32"/>
      <c r="C7" s="32" t="n">
        <f aca="false">-Assunzioni!$B$42</f>
        <v>-793.5</v>
      </c>
      <c r="D7" s="32" t="n">
        <f aca="false">-Assunzioni!$B$42</f>
        <v>-793.5</v>
      </c>
      <c r="E7" s="32" t="n">
        <f aca="false">-Assunzioni!$B$42</f>
        <v>-793.5</v>
      </c>
      <c r="F7" s="32" t="n">
        <f aca="false">-Assunzioni!$B$42</f>
        <v>-793.5</v>
      </c>
      <c r="G7" s="32" t="n">
        <f aca="false">-Assunzioni!$B$42</f>
        <v>-793.5</v>
      </c>
      <c r="H7" s="32" t="n">
        <f aca="false">-Assunzioni!$B$42</f>
        <v>-793.5</v>
      </c>
      <c r="I7" s="32" t="n">
        <f aca="false">-Assunzioni!$B$42</f>
        <v>-793.5</v>
      </c>
      <c r="J7" s="32" t="n">
        <f aca="false">-Assunzioni!$B$42</f>
        <v>-793.5</v>
      </c>
      <c r="K7" s="32" t="n">
        <f aca="false">-Assunzioni!$B$42</f>
        <v>-793.5</v>
      </c>
      <c r="L7" s="32" t="n">
        <f aca="false">-Assunzioni!$B$42</f>
        <v>-793.5</v>
      </c>
    </row>
    <row r="8" customFormat="false" ht="15" hidden="false" customHeight="true" outlineLevel="0" collapsed="false">
      <c r="A8" s="41" t="s">
        <v>233</v>
      </c>
      <c r="B8" s="42"/>
      <c r="C8" s="42" t="n">
        <f aca="false">SUM(C5:C7)</f>
        <v>37426.5</v>
      </c>
      <c r="D8" s="42" t="n">
        <f aca="false">SUM(D5:D7)</f>
        <v>37999.8</v>
      </c>
      <c r="E8" s="42" t="n">
        <f aca="false">SUM(E5:E7)</f>
        <v>38581.6995</v>
      </c>
      <c r="F8" s="42" t="n">
        <f aca="false">SUM(F5:F7)</f>
        <v>39172.3274925</v>
      </c>
      <c r="G8" s="42" t="n">
        <f aca="false">SUM(G5:G7)</f>
        <v>39771.8149048875</v>
      </c>
      <c r="H8" s="42" t="n">
        <f aca="false">SUM(H5:H7)</f>
        <v>40380.2946284608</v>
      </c>
      <c r="I8" s="42" t="n">
        <f aca="false">SUM(I5:I7)</f>
        <v>40997.9015478877</v>
      </c>
      <c r="J8" s="42" t="n">
        <f aca="false">SUM(J5:J7)</f>
        <v>41624.772571106</v>
      </c>
      <c r="K8" s="42" t="n">
        <f aca="false">SUM(K5:K7)</f>
        <v>42261.0466596726</v>
      </c>
      <c r="L8" s="42" t="n">
        <f aca="false">SUM(L5:L7)</f>
        <v>42906.8648595677</v>
      </c>
    </row>
    <row r="9" customFormat="false" ht="15" hidden="false" customHeight="true" outlineLevel="0" collapsed="false">
      <c r="A9" s="31" t="s">
        <v>234</v>
      </c>
      <c r="B9" s="32"/>
      <c r="C9" s="32" t="n">
        <f aca="false">-(Assunzioni!$B$26+Assunzioni!$B$27)</f>
        <v>-12000</v>
      </c>
      <c r="D9" s="32" t="n">
        <f aca="false">-(Assunzioni!$B$26+Assunzioni!$B$27)</f>
        <v>-12000</v>
      </c>
      <c r="E9" s="32" t="n">
        <f aca="false">-(Assunzioni!$B$26+Assunzioni!$B$27)</f>
        <v>-12000</v>
      </c>
      <c r="F9" s="32" t="n">
        <f aca="false">-(Assunzioni!$B$26+Assunzioni!$B$27)</f>
        <v>-12000</v>
      </c>
      <c r="G9" s="32" t="n">
        <f aca="false">-(Assunzioni!$B$26+Assunzioni!$B$27)</f>
        <v>-12000</v>
      </c>
      <c r="H9" s="32" t="n">
        <f aca="false">-(Assunzioni!$B$26+Assunzioni!$B$27)</f>
        <v>-12000</v>
      </c>
      <c r="I9" s="32" t="n">
        <f aca="false">-(Assunzioni!$B$26+Assunzioni!$B$27)</f>
        <v>-12000</v>
      </c>
      <c r="J9" s="32" t="n">
        <f aca="false">-(Assunzioni!$B$26+Assunzioni!$B$27)</f>
        <v>-12000</v>
      </c>
      <c r="K9" s="32" t="n">
        <f aca="false">-(Assunzioni!$B$26+Assunzioni!$B$27)</f>
        <v>-12000</v>
      </c>
      <c r="L9" s="32" t="n">
        <f aca="false">-(Assunzioni!$B$26+Assunzioni!$B$27)</f>
        <v>-12000</v>
      </c>
    </row>
    <row r="10" customFormat="false" ht="15" hidden="false" customHeight="true" outlineLevel="0" collapsed="false">
      <c r="A10" s="31" t="s">
        <v>235</v>
      </c>
      <c r="B10" s="32"/>
      <c r="C10" s="32" t="n">
        <f aca="false">-Assunzioni!$B$28*(1+Assunzioni!$B$9)^0</f>
        <v>-7000</v>
      </c>
      <c r="D10" s="32" t="n">
        <f aca="false">-Assunzioni!$B$28*(1+Assunzioni!$B$9)^1</f>
        <v>-7140</v>
      </c>
      <c r="E10" s="32" t="n">
        <f aca="false">-Assunzioni!$B$28*(1+Assunzioni!$B$9)^2</f>
        <v>-7282.8</v>
      </c>
      <c r="F10" s="32" t="n">
        <f aca="false">-Assunzioni!$B$28*(1+Assunzioni!$B$9)^3</f>
        <v>-7428.456</v>
      </c>
      <c r="G10" s="32" t="n">
        <f aca="false">-Assunzioni!$B$28*(1+Assunzioni!$B$9)^4</f>
        <v>-7577.02512</v>
      </c>
      <c r="H10" s="32" t="n">
        <f aca="false">-Assunzioni!$B$28*(1+Assunzioni!$B$9)^5</f>
        <v>-7728.5656224</v>
      </c>
      <c r="I10" s="32" t="n">
        <f aca="false">-Assunzioni!$B$28*(1+Assunzioni!$B$9)^6</f>
        <v>-7883.136934848</v>
      </c>
      <c r="J10" s="32" t="n">
        <f aca="false">-Assunzioni!$B$28*(1+Assunzioni!$B$9)^7</f>
        <v>-8040.79967354496</v>
      </c>
      <c r="K10" s="32" t="n">
        <f aca="false">-Assunzioni!$B$28*(1+Assunzioni!$B$9)^8</f>
        <v>-8201.61566701586</v>
      </c>
      <c r="L10" s="32" t="n">
        <f aca="false">-Assunzioni!$B$28*(1+Assunzioni!$B$9)^9</f>
        <v>-8365.64798035618</v>
      </c>
    </row>
    <row r="11" customFormat="false" ht="15" hidden="false" customHeight="true" outlineLevel="0" collapsed="false">
      <c r="A11" s="31" t="s">
        <v>236</v>
      </c>
      <c r="B11" s="32"/>
      <c r="C11" s="32" t="n">
        <f aca="false">-Assunzioni!$B$29*(1+Assunzioni!$B$9)^0</f>
        <v>-5500</v>
      </c>
      <c r="D11" s="32" t="n">
        <f aca="false">-Assunzioni!$B$29*(1+Assunzioni!$B$9)^1</f>
        <v>-5610</v>
      </c>
      <c r="E11" s="32" t="n">
        <f aca="false">-Assunzioni!$B$29*(1+Assunzioni!$B$9)^2</f>
        <v>-5722.2</v>
      </c>
      <c r="F11" s="32" t="n">
        <f aca="false">-Assunzioni!$B$29*(1+Assunzioni!$B$9)^3</f>
        <v>-5836.644</v>
      </c>
      <c r="G11" s="32" t="n">
        <f aca="false">-Assunzioni!$B$29*(1+Assunzioni!$B$9)^4</f>
        <v>-5953.37688</v>
      </c>
      <c r="H11" s="32" t="n">
        <f aca="false">-Assunzioni!$B$29*(1+Assunzioni!$B$9)^5</f>
        <v>-6072.4444176</v>
      </c>
      <c r="I11" s="32" t="n">
        <f aca="false">-Assunzioni!$B$29*(1+Assunzioni!$B$9)^6</f>
        <v>-6193.893305952</v>
      </c>
      <c r="J11" s="32" t="n">
        <f aca="false">-Assunzioni!$B$29*(1+Assunzioni!$B$9)^7</f>
        <v>-6317.77117207104</v>
      </c>
      <c r="K11" s="32" t="n">
        <f aca="false">-Assunzioni!$B$29*(1+Assunzioni!$B$9)^8</f>
        <v>-6444.12659551246</v>
      </c>
      <c r="L11" s="32" t="n">
        <f aca="false">-Assunzioni!$B$29*(1+Assunzioni!$B$9)^9</f>
        <v>-6573.00912742271</v>
      </c>
    </row>
    <row r="12" customFormat="false" ht="15" hidden="false" customHeight="true" outlineLevel="0" collapsed="false">
      <c r="A12" s="31" t="s">
        <v>237</v>
      </c>
      <c r="B12" s="32"/>
      <c r="C12" s="32" t="n">
        <f aca="false">-Assunzioni!$B$30*(1+Assunzioni!$B$9)^0</f>
        <v>-3000</v>
      </c>
      <c r="D12" s="32" t="n">
        <f aca="false">-Assunzioni!$B$30*(1+Assunzioni!$B$9)^1</f>
        <v>-3060</v>
      </c>
      <c r="E12" s="32" t="n">
        <f aca="false">-Assunzioni!$B$30*(1+Assunzioni!$B$9)^2</f>
        <v>-3121.2</v>
      </c>
      <c r="F12" s="32" t="n">
        <f aca="false">-Assunzioni!$B$30*(1+Assunzioni!$B$9)^3</f>
        <v>-3183.624</v>
      </c>
      <c r="G12" s="32" t="n">
        <f aca="false">-Assunzioni!$B$30*(1+Assunzioni!$B$9)^4</f>
        <v>-3247.29648</v>
      </c>
      <c r="H12" s="32" t="n">
        <f aca="false">-Assunzioni!$B$30*(1+Assunzioni!$B$9)^5</f>
        <v>-3312.2424096</v>
      </c>
      <c r="I12" s="32" t="n">
        <f aca="false">-Assunzioni!$B$30*(1+Assunzioni!$B$9)^6</f>
        <v>-3378.487257792</v>
      </c>
      <c r="J12" s="32" t="n">
        <f aca="false">-Assunzioni!$B$30*(1+Assunzioni!$B$9)^7</f>
        <v>-3446.05700294784</v>
      </c>
      <c r="K12" s="32" t="n">
        <f aca="false">-Assunzioni!$B$30*(1+Assunzioni!$B$9)^8</f>
        <v>-3514.9781430068</v>
      </c>
      <c r="L12" s="32" t="n">
        <f aca="false">-Assunzioni!$B$30*(1+Assunzioni!$B$9)^9</f>
        <v>-3585.27770586693</v>
      </c>
    </row>
    <row r="13" customFormat="false" ht="15" hidden="false" customHeight="true" outlineLevel="0" collapsed="false">
      <c r="A13" s="31" t="s">
        <v>238</v>
      </c>
      <c r="B13" s="32"/>
      <c r="C13" s="32" t="n">
        <f aca="false">-C8*Assunzioni!$B$31</f>
        <v>-187.1325</v>
      </c>
      <c r="D13" s="32" t="n">
        <f aca="false">-D8*Assunzioni!$B$31</f>
        <v>-189.999</v>
      </c>
      <c r="E13" s="32" t="n">
        <f aca="false">-E8*Assunzioni!$B$31</f>
        <v>-192.9084975</v>
      </c>
      <c r="F13" s="32" t="n">
        <f aca="false">-F8*Assunzioni!$B$31</f>
        <v>-195.8616374625</v>
      </c>
      <c r="G13" s="32" t="n">
        <f aca="false">-G8*Assunzioni!$B$31</f>
        <v>-198.859074524437</v>
      </c>
      <c r="H13" s="32" t="n">
        <f aca="false">-H8*Assunzioni!$B$31</f>
        <v>-201.901473142304</v>
      </c>
      <c r="I13" s="32" t="n">
        <f aca="false">-I8*Assunzioni!$B$31</f>
        <v>-204.989507739439</v>
      </c>
      <c r="J13" s="32" t="n">
        <f aca="false">-J8*Assunzioni!$B$31</f>
        <v>-208.12386285553</v>
      </c>
      <c r="K13" s="32" t="n">
        <f aca="false">-K8*Assunzioni!$B$31</f>
        <v>-211.305233298363</v>
      </c>
      <c r="L13" s="32" t="n">
        <f aca="false">-L8*Assunzioni!$B$31</f>
        <v>-214.534324297838</v>
      </c>
    </row>
    <row r="14" customFormat="false" ht="15" hidden="false" customHeight="true" outlineLevel="0" collapsed="false">
      <c r="A14" s="43" t="s">
        <v>239</v>
      </c>
      <c r="B14" s="44"/>
      <c r="C14" s="44" t="n">
        <f aca="false">SUM(C9:C13)</f>
        <v>-27687.1325</v>
      </c>
      <c r="D14" s="44" t="n">
        <f aca="false">SUM(D9:D13)</f>
        <v>-27999.999</v>
      </c>
      <c r="E14" s="44" t="n">
        <f aca="false">SUM(E9:E13)</f>
        <v>-28319.1084975</v>
      </c>
      <c r="F14" s="44" t="n">
        <f aca="false">SUM(F9:F13)</f>
        <v>-28644.5856374625</v>
      </c>
      <c r="G14" s="44" t="n">
        <f aca="false">SUM(G9:G13)</f>
        <v>-28976.5575545244</v>
      </c>
      <c r="H14" s="44" t="n">
        <f aca="false">SUM(H9:H13)</f>
        <v>-29315.1539227423</v>
      </c>
      <c r="I14" s="44" t="n">
        <f aca="false">SUM(I9:I13)</f>
        <v>-29660.5070063314</v>
      </c>
      <c r="J14" s="44" t="n">
        <f aca="false">SUM(J9:J13)</f>
        <v>-30012.7517114194</v>
      </c>
      <c r="K14" s="44" t="n">
        <f aca="false">SUM(K9:K13)</f>
        <v>-30372.0256388335</v>
      </c>
      <c r="L14" s="44" t="n">
        <f aca="false">SUM(L9:L13)</f>
        <v>-30738.4691379437</v>
      </c>
    </row>
    <row r="15" customFormat="false" ht="15" hidden="false" customHeight="true" outlineLevel="0" collapsed="false">
      <c r="A15" s="45" t="s">
        <v>240</v>
      </c>
      <c r="B15" s="46"/>
      <c r="C15" s="46" t="n">
        <f aca="false">C8+C14</f>
        <v>9739.3675</v>
      </c>
      <c r="D15" s="46" t="n">
        <f aca="false">D8+D14</f>
        <v>9999.801</v>
      </c>
      <c r="E15" s="46" t="n">
        <f aca="false">E8+E14</f>
        <v>10262.5910025</v>
      </c>
      <c r="F15" s="46" t="n">
        <f aca="false">F8+F14</f>
        <v>10527.7418550375</v>
      </c>
      <c r="G15" s="46" t="n">
        <f aca="false">G8+G14</f>
        <v>10795.2573503631</v>
      </c>
      <c r="H15" s="46" t="n">
        <f aca="false">H8+H14</f>
        <v>11065.1407057185</v>
      </c>
      <c r="I15" s="46" t="n">
        <f aca="false">I8+I14</f>
        <v>11337.3945415563</v>
      </c>
      <c r="J15" s="46" t="n">
        <f aca="false">J8+J14</f>
        <v>11612.0208596866</v>
      </c>
      <c r="K15" s="46" t="n">
        <f aca="false">K8+K14</f>
        <v>11889.0210208391</v>
      </c>
      <c r="L15" s="46" t="n">
        <f aca="false">L8+L14</f>
        <v>12168.395721624</v>
      </c>
    </row>
    <row r="17" customFormat="false" ht="15" hidden="false" customHeight="true" outlineLevel="0" collapsed="false">
      <c r="A17" s="4" t="s">
        <v>268</v>
      </c>
    </row>
    <row r="18" customFormat="false" ht="15" hidden="false" customHeight="true" outlineLevel="0" collapsed="false">
      <c r="A18" s="31" t="s">
        <v>269</v>
      </c>
      <c r="B18" s="32" t="n">
        <f aca="false">Assunzioni!$B$55</f>
        <v>180000</v>
      </c>
      <c r="C18" s="32" t="n">
        <f aca="false">B18+C20</f>
        <v>165042.357217116</v>
      </c>
      <c r="D18" s="32" t="n">
        <f aca="false">C18+D20</f>
        <v>149478.929901526</v>
      </c>
      <c r="E18" s="32" t="n">
        <f aca="false">D18+E20</f>
        <v>133285.183779654</v>
      </c>
      <c r="F18" s="32" t="n">
        <f aca="false">E18+F20</f>
        <v>116435.590939846</v>
      </c>
      <c r="G18" s="32" t="n">
        <f aca="false">F18+G20</f>
        <v>98903.5895900256</v>
      </c>
      <c r="H18" s="32" t="n">
        <f aca="false">G18+H20</f>
        <v>80661.5421855378</v>
      </c>
      <c r="I18" s="32" t="n">
        <f aca="false">H18+I20</f>
        <v>61680.6918611683</v>
      </c>
      <c r="J18" s="32" t="n">
        <f aca="false">I18+J20</f>
        <v>41931.1170986618</v>
      </c>
      <c r="K18" s="32" t="n">
        <f aca="false">J18+K20</f>
        <v>21381.6845582737</v>
      </c>
      <c r="L18" s="32" t="n">
        <f aca="false">K18+L20</f>
        <v>0</v>
      </c>
    </row>
    <row r="19" customFormat="false" ht="15" hidden="false" customHeight="true" outlineLevel="0" collapsed="false">
      <c r="A19" s="31" t="s">
        <v>270</v>
      </c>
      <c r="B19" s="32"/>
      <c r="C19" s="32" t="n">
        <f aca="false">-B18*Assunzioni!$B$56</f>
        <v>-7290</v>
      </c>
      <c r="D19" s="32" t="n">
        <f aca="false">-C18*Assunzioni!$B$56</f>
        <v>-6684.21546729321</v>
      </c>
      <c r="E19" s="32" t="n">
        <f aca="false">-D18*Assunzioni!$B$56</f>
        <v>-6053.89666101179</v>
      </c>
      <c r="F19" s="32" t="n">
        <f aca="false">-E18*Assunzioni!$B$56</f>
        <v>-5398.04994307597</v>
      </c>
      <c r="G19" s="32" t="n">
        <f aca="false">-F18*Assunzioni!$B$56</f>
        <v>-4715.64143306375</v>
      </c>
      <c r="H19" s="32" t="n">
        <f aca="false">-G18*Assunzioni!$B$56</f>
        <v>-4005.59537839604</v>
      </c>
      <c r="I19" s="32" t="n">
        <f aca="false">-H18*Assunzioni!$B$56</f>
        <v>-3266.79245851428</v>
      </c>
      <c r="J19" s="32" t="n">
        <f aca="false">-I18*Assunzioni!$B$56</f>
        <v>-2498.06802037732</v>
      </c>
      <c r="K19" s="32" t="n">
        <f aca="false">-J18*Assunzioni!$B$56</f>
        <v>-1698.2102424958</v>
      </c>
      <c r="L19" s="32" t="n">
        <f aca="false">-K18*Assunzioni!$B$56</f>
        <v>-865.958224610087</v>
      </c>
    </row>
    <row r="20" customFormat="false" ht="15" hidden="false" customHeight="true" outlineLevel="0" collapsed="false">
      <c r="A20" s="31" t="s">
        <v>271</v>
      </c>
      <c r="B20" s="32"/>
      <c r="C20" s="32" t="n">
        <f aca="false">-MIN(B18,Assunzioni!$B$58+C19)</f>
        <v>-14957.6427828838</v>
      </c>
      <c r="D20" s="32" t="n">
        <f aca="false">-MIN(C18,Assunzioni!$B$58+D19)</f>
        <v>-15563.4273155906</v>
      </c>
      <c r="E20" s="32" t="n">
        <f aca="false">-MIN(D18,Assunzioni!$B$58+E19)</f>
        <v>-16193.746121872</v>
      </c>
      <c r="F20" s="32" t="n">
        <f aca="false">-MIN(E18,Assunzioni!$B$58+F19)</f>
        <v>-16849.5928398079</v>
      </c>
      <c r="G20" s="32" t="n">
        <f aca="false">-MIN(F18,Assunzioni!$B$58+G19)</f>
        <v>-17532.0013498201</v>
      </c>
      <c r="H20" s="32" t="n">
        <f aca="false">-MIN(G18,Assunzioni!$B$58+H19)</f>
        <v>-18242.0474044878</v>
      </c>
      <c r="I20" s="32" t="n">
        <f aca="false">-MIN(H18,Assunzioni!$B$58+I19)</f>
        <v>-18980.8503243695</v>
      </c>
      <c r="J20" s="32" t="n">
        <f aca="false">-MIN(I18,Assunzioni!$B$58+J19)</f>
        <v>-19749.5747625065</v>
      </c>
      <c r="K20" s="32" t="n">
        <f aca="false">-MIN(J18,Assunzioni!$B$58+K19)</f>
        <v>-20549.432540388</v>
      </c>
      <c r="L20" s="32" t="n">
        <f aca="false">-MIN(K18,Assunzioni!$B$58+L19)</f>
        <v>-21381.6845582737</v>
      </c>
    </row>
    <row r="21" customFormat="false" ht="15" hidden="false" customHeight="true" outlineLevel="0" collapsed="false">
      <c r="A21" s="31" t="s">
        <v>272</v>
      </c>
      <c r="B21" s="32"/>
      <c r="C21" s="32" t="n">
        <f aca="false">C19+C20</f>
        <v>-22247.6427828838</v>
      </c>
      <c r="D21" s="32" t="n">
        <f aca="false">D19+D20</f>
        <v>-22247.6427828838</v>
      </c>
      <c r="E21" s="32" t="n">
        <f aca="false">E19+E20</f>
        <v>-22247.6427828838</v>
      </c>
      <c r="F21" s="32" t="n">
        <f aca="false">F19+F20</f>
        <v>-22247.6427828838</v>
      </c>
      <c r="G21" s="32" t="n">
        <f aca="false">G19+G20</f>
        <v>-22247.6427828838</v>
      </c>
      <c r="H21" s="32" t="n">
        <f aca="false">H19+H20</f>
        <v>-22247.6427828838</v>
      </c>
      <c r="I21" s="32" t="n">
        <f aca="false">I19+I20</f>
        <v>-22247.6427828838</v>
      </c>
      <c r="J21" s="32" t="n">
        <f aca="false">J19+J20</f>
        <v>-22247.6427828838</v>
      </c>
      <c r="K21" s="32" t="n">
        <f aca="false">K19+K20</f>
        <v>-22247.6427828838</v>
      </c>
      <c r="L21" s="32" t="n">
        <f aca="false">L19+L20</f>
        <v>-22247.6427828838</v>
      </c>
    </row>
    <row r="23" customFormat="false" ht="15" hidden="false" customHeight="true" outlineLevel="0" collapsed="false">
      <c r="A23" s="31" t="s">
        <v>241</v>
      </c>
      <c r="B23" s="32"/>
      <c r="C23" s="32" t="n">
        <f aca="false">-Assunzioni!$B$51*0.5</f>
        <v>-3994.2</v>
      </c>
      <c r="D23" s="32" t="n">
        <f aca="false">-Assunzioni!$B$51</f>
        <v>-7988.4</v>
      </c>
      <c r="E23" s="32" t="n">
        <f aca="false">-Assunzioni!$B$51</f>
        <v>-7988.4</v>
      </c>
      <c r="F23" s="32" t="n">
        <f aca="false">-Assunzioni!$B$51</f>
        <v>-7988.4</v>
      </c>
      <c r="G23" s="32" t="n">
        <f aca="false">-Assunzioni!$B$51</f>
        <v>-7988.4</v>
      </c>
      <c r="H23" s="32" t="n">
        <f aca="false">-Assunzioni!$B$51</f>
        <v>-7988.4</v>
      </c>
      <c r="I23" s="32" t="n">
        <f aca="false">-Assunzioni!$B$51</f>
        <v>-7988.4</v>
      </c>
      <c r="J23" s="32" t="n">
        <f aca="false">-Assunzioni!$B$51</f>
        <v>-7988.4</v>
      </c>
      <c r="K23" s="32" t="n">
        <f aca="false">-Assunzioni!$B$51</f>
        <v>-7988.4</v>
      </c>
      <c r="L23" s="32" t="n">
        <f aca="false">-Assunzioni!$B$51</f>
        <v>-7988.4</v>
      </c>
    </row>
    <row r="24" customFormat="false" ht="15" hidden="false" customHeight="true" outlineLevel="0" collapsed="false">
      <c r="A24" s="47" t="s">
        <v>273</v>
      </c>
      <c r="B24" s="48"/>
      <c r="C24" s="48" t="n">
        <f aca="false">C15+C23+C19</f>
        <v>-1544.8325</v>
      </c>
      <c r="D24" s="48" t="n">
        <f aca="false">D15+D23+D19</f>
        <v>-4672.81446729321</v>
      </c>
      <c r="E24" s="48" t="n">
        <f aca="false">E15+E23+E19</f>
        <v>-3779.7056585118</v>
      </c>
      <c r="F24" s="48" t="n">
        <f aca="false">F15+F23+F19</f>
        <v>-2858.70808803848</v>
      </c>
      <c r="G24" s="48" t="n">
        <f aca="false">G15+G23+G19</f>
        <v>-1908.78408270069</v>
      </c>
      <c r="H24" s="48" t="n">
        <f aca="false">H15+H23+H19</f>
        <v>-928.854672677552</v>
      </c>
      <c r="I24" s="48" t="n">
        <f aca="false">I15+I23+I19</f>
        <v>82.2020830419747</v>
      </c>
      <c r="J24" s="48" t="n">
        <f aca="false">J15+J23+J19</f>
        <v>1125.55283930933</v>
      </c>
      <c r="K24" s="48" t="n">
        <f aca="false">K15+K23+K19</f>
        <v>2202.41077834332</v>
      </c>
      <c r="L24" s="48" t="n">
        <f aca="false">L15+L23+L19</f>
        <v>3314.03749701394</v>
      </c>
    </row>
    <row r="26" customFormat="false" ht="15" hidden="false" customHeight="true" outlineLevel="0" collapsed="false">
      <c r="A26" s="4" t="s">
        <v>243</v>
      </c>
    </row>
    <row r="27" customFormat="false" ht="15" hidden="false" customHeight="true" outlineLevel="0" collapsed="false">
      <c r="A27" s="31" t="s">
        <v>274</v>
      </c>
      <c r="B27" s="32"/>
      <c r="C27" s="32" t="n">
        <f aca="false">C15+C23+C19*Assunzioni!$B$61</f>
        <v>-1544.8325</v>
      </c>
      <c r="D27" s="32" t="n">
        <f aca="false">D15+D23+D19*Assunzioni!$B$61</f>
        <v>-4672.81446729321</v>
      </c>
      <c r="E27" s="32" t="n">
        <f aca="false">E15+E23+E19*Assunzioni!$B$61</f>
        <v>-3779.7056585118</v>
      </c>
      <c r="F27" s="32" t="n">
        <f aca="false">F15+F23+F19*Assunzioni!$B$61</f>
        <v>-2858.70808803848</v>
      </c>
      <c r="G27" s="32" t="n">
        <f aca="false">G15+G23+G19*Assunzioni!$B$61</f>
        <v>-1908.78408270069</v>
      </c>
      <c r="H27" s="32" t="n">
        <f aca="false">H15+H23+H19*Assunzioni!$B$61</f>
        <v>-928.854672677552</v>
      </c>
      <c r="I27" s="32" t="n">
        <f aca="false">I15+I23+I19*Assunzioni!$B$61</f>
        <v>82.2020830419747</v>
      </c>
      <c r="J27" s="32" t="n">
        <f aca="false">J15+J23+J19*Assunzioni!$B$61</f>
        <v>1125.55283930933</v>
      </c>
      <c r="K27" s="32" t="n">
        <f aca="false">K15+K23+K19*Assunzioni!$B$61</f>
        <v>2202.41077834332</v>
      </c>
      <c r="L27" s="32" t="n">
        <f aca="false">L15+L23+L19*Assunzioni!$B$61</f>
        <v>3314.03749701394</v>
      </c>
    </row>
    <row r="28" customFormat="false" ht="15" hidden="false" customHeight="true" outlineLevel="0" collapsed="false">
      <c r="A28" s="31" t="s">
        <v>245</v>
      </c>
      <c r="B28" s="32"/>
      <c r="C28" s="32" t="n">
        <f aca="false">-MAX(0,C27)*Assunzioni!$B$45</f>
        <v>-0</v>
      </c>
      <c r="D28" s="32" t="n">
        <f aca="false">-MAX(0,D27)*Assunzioni!$B$45</f>
        <v>-0</v>
      </c>
      <c r="E28" s="32" t="n">
        <f aca="false">-MAX(0,E27)*Assunzioni!$B$45</f>
        <v>-0</v>
      </c>
      <c r="F28" s="32" t="n">
        <f aca="false">-MAX(0,F27)*Assunzioni!$B$45</f>
        <v>-0</v>
      </c>
      <c r="G28" s="32" t="n">
        <f aca="false">-MAX(0,G27)*Assunzioni!$B$45</f>
        <v>-0</v>
      </c>
      <c r="H28" s="32" t="n">
        <f aca="false">-MAX(0,H27)*Assunzioni!$B$45</f>
        <v>-0</v>
      </c>
      <c r="I28" s="32" t="n">
        <f aca="false">-MAX(0,I27)*Assunzioni!$B$45</f>
        <v>-19.7284999300739</v>
      </c>
      <c r="J28" s="32" t="n">
        <f aca="false">-MAX(0,J27)*Assunzioni!$B$45</f>
        <v>-270.132681434239</v>
      </c>
      <c r="K28" s="32" t="n">
        <f aca="false">-MAX(0,K27)*Assunzioni!$B$45</f>
        <v>-528.578586802397</v>
      </c>
      <c r="L28" s="32" t="n">
        <f aca="false">-MAX(0,L27)*Assunzioni!$B$45</f>
        <v>-795.368999283346</v>
      </c>
    </row>
    <row r="29" customFormat="false" ht="15" hidden="false" customHeight="true" outlineLevel="0" collapsed="false">
      <c r="A29" s="31" t="s">
        <v>275</v>
      </c>
      <c r="B29" s="32"/>
      <c r="C29" s="32" t="n">
        <f aca="false">C15+C23-C9</f>
        <v>17745.1675</v>
      </c>
      <c r="D29" s="32" t="n">
        <f aca="false">D15+D23-D9</f>
        <v>14011.401</v>
      </c>
      <c r="E29" s="32" t="n">
        <f aca="false">E15+E23-E9</f>
        <v>14274.1910025</v>
      </c>
      <c r="F29" s="32" t="n">
        <f aca="false">F15+F23-F9</f>
        <v>14539.3418550375</v>
      </c>
      <c r="G29" s="32" t="n">
        <f aca="false">G15+G23-G9</f>
        <v>14806.8573503631</v>
      </c>
      <c r="H29" s="32" t="n">
        <f aca="false">H15+H23-H9</f>
        <v>15076.7407057185</v>
      </c>
      <c r="I29" s="32" t="n">
        <f aca="false">I15+I23-I9</f>
        <v>15348.9945415563</v>
      </c>
      <c r="J29" s="32" t="n">
        <f aca="false">J15+J23-J9</f>
        <v>15623.6208596866</v>
      </c>
      <c r="K29" s="32" t="n">
        <f aca="false">K15+K23-K9</f>
        <v>15900.6210208391</v>
      </c>
      <c r="L29" s="32" t="n">
        <f aca="false">L15+L23-L9</f>
        <v>16179.995721624</v>
      </c>
    </row>
    <row r="30" customFormat="false" ht="15" hidden="false" customHeight="true" outlineLevel="0" collapsed="false">
      <c r="A30" s="31" t="s">
        <v>247</v>
      </c>
      <c r="B30" s="32"/>
      <c r="C30" s="32" t="n">
        <f aca="false">-MAX(0,C29)*Assunzioni!$B$46</f>
        <v>-692.0615325</v>
      </c>
      <c r="D30" s="32" t="n">
        <f aca="false">-MAX(0,D29)*Assunzioni!$B$46</f>
        <v>-546.444639</v>
      </c>
      <c r="E30" s="32" t="n">
        <f aca="false">-MAX(0,E29)*Assunzioni!$B$46</f>
        <v>-556.6934490975</v>
      </c>
      <c r="F30" s="32" t="n">
        <f aca="false">-MAX(0,F29)*Assunzioni!$B$46</f>
        <v>-567.034332346462</v>
      </c>
      <c r="G30" s="32" t="n">
        <f aca="false">-MAX(0,G29)*Assunzioni!$B$46</f>
        <v>-577.467436664159</v>
      </c>
      <c r="H30" s="32" t="n">
        <f aca="false">-MAX(0,H29)*Assunzioni!$B$46</f>
        <v>-587.992887523021</v>
      </c>
      <c r="I30" s="32" t="n">
        <f aca="false">-MAX(0,I29)*Assunzioni!$B$46</f>
        <v>-598.610787120694</v>
      </c>
      <c r="J30" s="32" t="n">
        <f aca="false">-MAX(0,J29)*Assunzioni!$B$46</f>
        <v>-609.321213527779</v>
      </c>
      <c r="K30" s="32" t="n">
        <f aca="false">-MAX(0,K29)*Assunzioni!$B$46</f>
        <v>-620.124219812726</v>
      </c>
      <c r="L30" s="32" t="n">
        <f aca="false">-MAX(0,L29)*Assunzioni!$B$46</f>
        <v>-631.019833143337</v>
      </c>
    </row>
    <row r="31" customFormat="false" ht="15" hidden="false" customHeight="true" outlineLevel="0" collapsed="false">
      <c r="A31" s="49" t="s">
        <v>248</v>
      </c>
      <c r="B31" s="50"/>
      <c r="C31" s="50" t="n">
        <f aca="false">C24+C28+C30</f>
        <v>-2236.8940325</v>
      </c>
      <c r="D31" s="50" t="n">
        <f aca="false">D24+D28+D30</f>
        <v>-5219.25910629321</v>
      </c>
      <c r="E31" s="50" t="n">
        <f aca="false">E24+E28+E30</f>
        <v>-4336.3991076093</v>
      </c>
      <c r="F31" s="50" t="n">
        <f aca="false">F24+F28+F30</f>
        <v>-3425.74242038495</v>
      </c>
      <c r="G31" s="50" t="n">
        <f aca="false">G24+G28+G30</f>
        <v>-2486.25151936485</v>
      </c>
      <c r="H31" s="50" t="n">
        <f aca="false">H24+H28+H30</f>
        <v>-1516.84756020057</v>
      </c>
      <c r="I31" s="50" t="n">
        <f aca="false">I24+I28+I30</f>
        <v>-536.137204008793</v>
      </c>
      <c r="J31" s="50" t="n">
        <f aca="false">J24+J28+J30</f>
        <v>246.098944347311</v>
      </c>
      <c r="K31" s="50" t="n">
        <f aca="false">K24+K28+K30</f>
        <v>1053.7079717282</v>
      </c>
      <c r="L31" s="50" t="n">
        <f aca="false">L24+L28+L30</f>
        <v>1887.64866458726</v>
      </c>
    </row>
    <row r="33" customFormat="false" ht="15" hidden="false" customHeight="true" outlineLevel="0" collapsed="false">
      <c r="A33" s="4" t="s">
        <v>249</v>
      </c>
    </row>
    <row r="34" customFormat="false" ht="15" hidden="false" customHeight="true" outlineLevel="0" collapsed="false">
      <c r="A34" s="31" t="s">
        <v>250</v>
      </c>
      <c r="B34" s="32"/>
      <c r="C34" s="32" t="n">
        <f aca="false">-C23</f>
        <v>3994.2</v>
      </c>
      <c r="D34" s="32" t="n">
        <f aca="false">-D23</f>
        <v>7988.4</v>
      </c>
      <c r="E34" s="32" t="n">
        <f aca="false">-E23</f>
        <v>7988.4</v>
      </c>
      <c r="F34" s="32" t="n">
        <f aca="false">-F23</f>
        <v>7988.4</v>
      </c>
      <c r="G34" s="32" t="n">
        <f aca="false">-G23</f>
        <v>7988.4</v>
      </c>
      <c r="H34" s="32" t="n">
        <f aca="false">-H23</f>
        <v>7988.4</v>
      </c>
      <c r="I34" s="32" t="n">
        <f aca="false">-I23</f>
        <v>7988.4</v>
      </c>
      <c r="J34" s="32" t="n">
        <f aca="false">-J23</f>
        <v>7988.4</v>
      </c>
      <c r="K34" s="32" t="n">
        <f aca="false">-K23</f>
        <v>7988.4</v>
      </c>
      <c r="L34" s="32" t="n">
        <f aca="false">-L23</f>
        <v>7988.4</v>
      </c>
    </row>
    <row r="35" customFormat="false" ht="15" hidden="false" customHeight="true" outlineLevel="0" collapsed="false">
      <c r="A35" s="31" t="s">
        <v>276</v>
      </c>
      <c r="B35" s="32"/>
      <c r="C35" s="32" t="n">
        <f aca="false">C20</f>
        <v>-14957.6427828838</v>
      </c>
      <c r="D35" s="32" t="n">
        <f aca="false">D20</f>
        <v>-15563.4273155906</v>
      </c>
      <c r="E35" s="32" t="n">
        <f aca="false">E20</f>
        <v>-16193.746121872</v>
      </c>
      <c r="F35" s="32" t="n">
        <f aca="false">F20</f>
        <v>-16849.5928398079</v>
      </c>
      <c r="G35" s="32" t="n">
        <f aca="false">G20</f>
        <v>-17532.0013498201</v>
      </c>
      <c r="H35" s="32" t="n">
        <f aca="false">H20</f>
        <v>-18242.0474044878</v>
      </c>
      <c r="I35" s="32" t="n">
        <f aca="false">I20</f>
        <v>-18980.8503243695</v>
      </c>
      <c r="J35" s="32" t="n">
        <f aca="false">J20</f>
        <v>-19749.5747625065</v>
      </c>
      <c r="K35" s="32" t="n">
        <f aca="false">K20</f>
        <v>-20549.432540388</v>
      </c>
      <c r="L35" s="32" t="n">
        <f aca="false">L20</f>
        <v>-21381.6845582737</v>
      </c>
    </row>
    <row r="36" customFormat="false" ht="15" hidden="false" customHeight="true" outlineLevel="0" collapsed="false">
      <c r="A36" s="31" t="s">
        <v>251</v>
      </c>
      <c r="B36" s="32"/>
      <c r="C36" s="32" t="n">
        <f aca="false">0</f>
        <v>0</v>
      </c>
      <c r="D36" s="32" t="n">
        <f aca="false">0</f>
        <v>0</v>
      </c>
      <c r="E36" s="32" t="n">
        <f aca="false">0</f>
        <v>0</v>
      </c>
      <c r="F36" s="32" t="n">
        <f aca="false">0</f>
        <v>0</v>
      </c>
      <c r="G36" s="32" t="n">
        <f aca="false">-Assunzioni!$B$34</f>
        <v>-30000</v>
      </c>
      <c r="H36" s="32" t="n">
        <f aca="false">0</f>
        <v>0</v>
      </c>
      <c r="I36" s="32" t="n">
        <f aca="false">0</f>
        <v>0</v>
      </c>
      <c r="J36" s="32" t="n">
        <f aca="false">-Assunzioni!$B$35</f>
        <v>-25000</v>
      </c>
      <c r="K36" s="32" t="n">
        <f aca="false">0</f>
        <v>0</v>
      </c>
      <c r="L36" s="32" t="n">
        <f aca="false">0</f>
        <v>0</v>
      </c>
    </row>
    <row r="37" customFormat="false" ht="15" hidden="false" customHeight="true" outlineLevel="0" collapsed="false">
      <c r="A37" s="31" t="s">
        <v>252</v>
      </c>
      <c r="B37" s="32"/>
      <c r="C37" s="32" t="n">
        <f aca="false">0</f>
        <v>0</v>
      </c>
      <c r="D37" s="32" t="n">
        <f aca="false">0</f>
        <v>0</v>
      </c>
      <c r="E37" s="32" t="n">
        <f aca="false">0</f>
        <v>0</v>
      </c>
      <c r="F37" s="32" t="n">
        <f aca="false">0</f>
        <v>0</v>
      </c>
      <c r="G37" s="32" t="n">
        <f aca="false">0</f>
        <v>0</v>
      </c>
      <c r="H37" s="32" t="n">
        <f aca="false">-Assunzioni!$B$36</f>
        <v>-10000</v>
      </c>
      <c r="I37" s="32" t="n">
        <f aca="false">0</f>
        <v>0</v>
      </c>
      <c r="J37" s="32" t="n">
        <f aca="false">0</f>
        <v>0</v>
      </c>
      <c r="K37" s="32" t="n">
        <f aca="false">0</f>
        <v>0</v>
      </c>
      <c r="L37" s="32" t="n">
        <f aca="false">0</f>
        <v>0</v>
      </c>
    </row>
    <row r="38" customFormat="false" ht="15" hidden="false" customHeight="true" outlineLevel="0" collapsed="false">
      <c r="A38" s="49" t="s">
        <v>277</v>
      </c>
      <c r="B38" s="50"/>
      <c r="C38" s="50" t="n">
        <f aca="false">C31+C34+C35+C36+C37</f>
        <v>-13200.3368153838</v>
      </c>
      <c r="D38" s="50" t="n">
        <f aca="false">D31+D34+D35+D36+D37</f>
        <v>-12794.2864218838</v>
      </c>
      <c r="E38" s="50" t="n">
        <f aca="false">E31+E34+E35+E36+E37</f>
        <v>-12541.7452294813</v>
      </c>
      <c r="F38" s="50" t="n">
        <f aca="false">F31+F34+F35+F36+F37</f>
        <v>-12286.9352601928</v>
      </c>
      <c r="G38" s="50" t="n">
        <f aca="false">G31+G34+G35+G36+G37</f>
        <v>-42029.8528691849</v>
      </c>
      <c r="H38" s="50" t="n">
        <f aca="false">H31+H34+H35+H36+H37</f>
        <v>-21770.4949646884</v>
      </c>
      <c r="I38" s="50" t="n">
        <f aca="false">I31+I34+I35+I36+I37</f>
        <v>-11528.5875283783</v>
      </c>
      <c r="J38" s="50" t="n">
        <f aca="false">J31+J34+J35+J36+J37</f>
        <v>-36515.0758181592</v>
      </c>
      <c r="K38" s="50" t="n">
        <f aca="false">K31+K34+K35+K36+K37</f>
        <v>-11507.3245686598</v>
      </c>
      <c r="L38" s="50" t="n">
        <f aca="false">L31+L34+L35+L36+L37</f>
        <v>-11505.6358936865</v>
      </c>
    </row>
    <row r="40" customFormat="false" ht="15" hidden="false" customHeight="true" outlineLevel="0" collapsed="false">
      <c r="A40" s="4" t="s">
        <v>278</v>
      </c>
    </row>
    <row r="41" customFormat="false" ht="15" hidden="false" customHeight="true" outlineLevel="0" collapsed="false">
      <c r="A41" s="31" t="s">
        <v>279</v>
      </c>
      <c r="B41" s="32" t="n">
        <f aca="false">Assunzioni!$B$63</f>
        <v>178050</v>
      </c>
      <c r="C41" s="32" t="n">
        <f aca="false">B41*(1+Assunzioni!$B$80)-B41*Assunzioni!$B$81</f>
        <v>184085.895</v>
      </c>
      <c r="D41" s="32" t="n">
        <f aca="false">C41*(1+Assunzioni!$B$80)-C41*Assunzioni!$B$81</f>
        <v>190326.4068405</v>
      </c>
      <c r="E41" s="32" t="n">
        <f aca="false">D41*(1+Assunzioni!$B$80)-D41*Assunzioni!$B$81</f>
        <v>196778.472032393</v>
      </c>
      <c r="F41" s="32" t="n">
        <f aca="false">E41*(1+Assunzioni!$B$80)-E41*Assunzioni!$B$81</f>
        <v>203449.262234291</v>
      </c>
      <c r="G41" s="32" t="n">
        <f aca="false">F41*(1+Assunzioni!$B$80)-F41*Assunzioni!$B$81</f>
        <v>210346.192224034</v>
      </c>
      <c r="H41" s="32" t="n">
        <f aca="false">G41*(1+Assunzioni!$B$80)-G41*Assunzioni!$B$81</f>
        <v>217476.928140428</v>
      </c>
      <c r="I41" s="32" t="n">
        <f aca="false">H41*(1+Assunzioni!$B$80)-H41*Assunzioni!$B$81</f>
        <v>224849.396004389</v>
      </c>
      <c r="J41" s="32" t="n">
        <f aca="false">I41*(1+Assunzioni!$B$80)-I41*Assunzioni!$B$81</f>
        <v>232471.790528938</v>
      </c>
      <c r="K41" s="32" t="n">
        <f aca="false">J41*(1+Assunzioni!$B$80)-J41*Assunzioni!$B$81</f>
        <v>240352.584227869</v>
      </c>
      <c r="L41" s="32" t="n">
        <f aca="false">K41*(1+Assunzioni!$B$80)-K41*Assunzioni!$B$81</f>
        <v>248500.536833193</v>
      </c>
    </row>
    <row r="42" customFormat="false" ht="15" hidden="false" customHeight="true" outlineLevel="0" collapsed="false">
      <c r="A42" s="31" t="s">
        <v>280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 t="n">
        <f aca="false">-MAX(0,L41-Assunzioni!$B$63)*Assunzioni!$B$45</f>
        <v>-16908.1288399664</v>
      </c>
    </row>
    <row r="43" customFormat="false" ht="15" hidden="false" customHeight="true" outlineLevel="0" collapsed="false">
      <c r="A43" s="31" t="s">
        <v>281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 t="n">
        <f aca="false">L41+L42</f>
        <v>231592.407993227</v>
      </c>
    </row>
    <row r="45" customFormat="false" ht="15" hidden="false" customHeight="true" outlineLevel="0" collapsed="false">
      <c r="A45" s="31" t="s">
        <v>282</v>
      </c>
      <c r="B45" s="32" t="n">
        <f aca="false">-Assunzioni!$B$23</f>
        <v>-385400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customFormat="false" ht="15" hidden="false" customHeight="true" outlineLevel="0" collapsed="false">
      <c r="A46" s="31" t="s">
        <v>283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 t="n">
        <f aca="false">Assunzioni!$B$74</f>
        <v>388235.448</v>
      </c>
    </row>
    <row r="47" customFormat="false" ht="15" hidden="false" customHeight="true" outlineLevel="0" collapsed="false">
      <c r="A47" s="41" t="s">
        <v>256</v>
      </c>
      <c r="B47" s="42" t="n">
        <f aca="false">B45</f>
        <v>-385400</v>
      </c>
      <c r="C47" s="42" t="n">
        <f aca="false">C38</f>
        <v>-13200.3368153838</v>
      </c>
      <c r="D47" s="42" t="n">
        <f aca="false">D38</f>
        <v>-12794.2864218838</v>
      </c>
      <c r="E47" s="42" t="n">
        <f aca="false">E38</f>
        <v>-12541.7452294813</v>
      </c>
      <c r="F47" s="42" t="n">
        <f aca="false">F38</f>
        <v>-12286.9352601928</v>
      </c>
      <c r="G47" s="42" t="n">
        <f aca="false">G38</f>
        <v>-42029.8528691849</v>
      </c>
      <c r="H47" s="42" t="n">
        <f aca="false">H38</f>
        <v>-21770.4949646884</v>
      </c>
      <c r="I47" s="42" t="n">
        <f aca="false">I38</f>
        <v>-11528.5875283783</v>
      </c>
      <c r="J47" s="42" t="n">
        <f aca="false">J38</f>
        <v>-36515.0758181592</v>
      </c>
      <c r="K47" s="42" t="n">
        <f aca="false">K38</f>
        <v>-11507.3245686598</v>
      </c>
      <c r="L47" s="42" t="n">
        <f aca="false">L38+L46+L43</f>
        <v>608322.22009954</v>
      </c>
    </row>
    <row r="48" customFormat="false" ht="15" hidden="false" customHeight="true" outlineLevel="0" collapsed="false">
      <c r="A48" s="31" t="s">
        <v>257</v>
      </c>
      <c r="B48" s="32" t="n">
        <f aca="false">B47</f>
        <v>-385400</v>
      </c>
      <c r="C48" s="32" t="n">
        <f aca="false">B48+C47</f>
        <v>-398600.336815384</v>
      </c>
      <c r="D48" s="32" t="n">
        <f aca="false">C48+D47</f>
        <v>-411394.623237268</v>
      </c>
      <c r="E48" s="32" t="n">
        <f aca="false">D48+E47</f>
        <v>-423936.368466749</v>
      </c>
      <c r="F48" s="32" t="n">
        <f aca="false">E48+F47</f>
        <v>-436223.303726942</v>
      </c>
      <c r="G48" s="32" t="n">
        <f aca="false">F48+G47</f>
        <v>-478253.156596127</v>
      </c>
      <c r="H48" s="32" t="n">
        <f aca="false">G48+H47</f>
        <v>-500023.651560815</v>
      </c>
      <c r="I48" s="32" t="n">
        <f aca="false">H48+I47</f>
        <v>-511552.239089193</v>
      </c>
      <c r="J48" s="32" t="n">
        <f aca="false">I48+J47</f>
        <v>-548067.314907353</v>
      </c>
      <c r="K48" s="32" t="n">
        <f aca="false">J48+K47</f>
        <v>-559574.639476012</v>
      </c>
      <c r="L48" s="32" t="n">
        <f aca="false">K48+L47</f>
        <v>48747.5806235281</v>
      </c>
    </row>
    <row r="49" customFormat="false" ht="15" hidden="false" customHeight="true" outlineLevel="0" collapsed="false">
      <c r="A49" s="31" t="s">
        <v>258</v>
      </c>
      <c r="B49" s="32" t="n">
        <f aca="false">0</f>
        <v>0</v>
      </c>
      <c r="C49" s="32" t="n">
        <f aca="false">B49*(1+Assunzioni!$B$85)+C38</f>
        <v>-13200.3368153838</v>
      </c>
      <c r="D49" s="32" t="n">
        <f aca="false">C49*(1+Assunzioni!$B$85)+D38</f>
        <v>-26324.6316576522</v>
      </c>
      <c r="E49" s="32" t="n">
        <f aca="false">D49*(1+Assunzioni!$B$85)+E38</f>
        <v>-39524.4926785749</v>
      </c>
      <c r="F49" s="32" t="n">
        <f aca="false">E49*(1+Assunzioni!$B$85)+F38</f>
        <v>-52799.5402557321</v>
      </c>
      <c r="G49" s="32" t="n">
        <f aca="false">F49*(1+Assunzioni!$B$85)+G38</f>
        <v>-96149.3816313103</v>
      </c>
      <c r="H49" s="32" t="n">
        <f aca="false">G49*(1+Assunzioni!$B$85)+H38</f>
        <v>-120323.611136781</v>
      </c>
      <c r="I49" s="32" t="n">
        <f aca="false">H49*(1+Assunzioni!$B$85)+I38</f>
        <v>-134860.288943579</v>
      </c>
      <c r="J49" s="32" t="n">
        <f aca="false">I49*(1+Assunzioni!$B$85)+J38</f>
        <v>-174746.871985328</v>
      </c>
      <c r="K49" s="32" t="n">
        <f aca="false">J49*(1+Assunzioni!$B$85)+K38</f>
        <v>-190622.868353621</v>
      </c>
      <c r="L49" s="32" t="n">
        <f aca="false">K49*(1+Assunzioni!$B$85)+L38</f>
        <v>-206894.075956148</v>
      </c>
    </row>
    <row r="50" customFormat="false" ht="15" hidden="false" customHeight="true" outlineLevel="0" collapsed="false">
      <c r="A50" s="49" t="s">
        <v>259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 t="n">
        <f aca="false">L49+L46+L43</f>
        <v>412933.780037079</v>
      </c>
    </row>
    <row r="53" customFormat="false" ht="15" hidden="false" customHeight="true" outlineLevel="0" collapsed="false">
      <c r="A53" s="18" t="s">
        <v>260</v>
      </c>
      <c r="B53" s="19"/>
      <c r="C53" s="19"/>
      <c r="D53" s="19"/>
    </row>
    <row r="54" customFormat="false" ht="15" hidden="false" customHeight="true" outlineLevel="0" collapsed="false">
      <c r="A54" s="4" t="s">
        <v>261</v>
      </c>
      <c r="B54" s="29" t="n">
        <f aca="false">IFERROR(IRR(B47:L47),"n.d.")</f>
        <v>0.0100479966098236</v>
      </c>
    </row>
    <row r="55" customFormat="false" ht="15" hidden="false" customHeight="true" outlineLevel="0" collapsed="false">
      <c r="A55" s="4" t="s">
        <v>262</v>
      </c>
      <c r="B55" s="51" t="n">
        <f aca="false">(SUM(C38:L38)+L46+L43)/-B45</f>
        <v>1.12648567883635</v>
      </c>
    </row>
    <row r="56" customFormat="false" ht="15" hidden="false" customHeight="true" outlineLevel="0" collapsed="false">
      <c r="A56" s="4" t="s">
        <v>14</v>
      </c>
      <c r="B56" s="28" t="n">
        <f aca="false">L50</f>
        <v>412933.780037079</v>
      </c>
    </row>
    <row r="57" customFormat="false" ht="15" hidden="false" customHeight="true" outlineLevel="0" collapsed="false">
      <c r="A57" s="4" t="s">
        <v>263</v>
      </c>
      <c r="B57" s="29" t="n">
        <f aca="false">IFERROR((L50/-B45)^(1/10)-1,"n.d.")</f>
        <v>0.00692441216730999</v>
      </c>
    </row>
    <row r="58" customFormat="false" ht="15" hidden="false" customHeight="true" outlineLevel="0" collapsed="false">
      <c r="A58" s="4" t="s">
        <v>16</v>
      </c>
      <c r="B58" s="28" t="n">
        <f aca="false">NPV(Assunzioni!$B$86,C47:L47)+B47</f>
        <v>-220343.210374951</v>
      </c>
    </row>
    <row r="59" customFormat="false" ht="15" hidden="false" customHeight="true" outlineLevel="0" collapsed="false">
      <c r="A59" s="4" t="s">
        <v>284</v>
      </c>
      <c r="B59" s="51" t="n">
        <f aca="false">IFERROR(AVERAGE(C15:L15)/-AVERAGE(C21:L21),"n.d.")</f>
        <v>0.491722797893398</v>
      </c>
    </row>
    <row r="60" customFormat="false" ht="15" hidden="false" customHeight="true" outlineLevel="0" collapsed="false">
      <c r="A60" s="4" t="s">
        <v>285</v>
      </c>
      <c r="B60" s="28" t="n">
        <f aca="false">-SUM(C19:L19)</f>
        <v>42476.4278288382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13" min="2" style="1" width="12.5"/>
  </cols>
  <sheetData>
    <row r="1" customFormat="false" ht="19.5" hidden="false" customHeight="true" outlineLevel="0" collapsed="false">
      <c r="A1" s="52" t="s">
        <v>286</v>
      </c>
    </row>
    <row r="2" customFormat="false" ht="15" hidden="false" customHeight="true" outlineLevel="0" collapsed="false">
      <c r="A2" s="3" t="s">
        <v>287</v>
      </c>
    </row>
    <row r="4" customFormat="false" ht="15" hidden="false" customHeight="true" outlineLevel="0" collapsed="false">
      <c r="A4" s="18" t="s">
        <v>229</v>
      </c>
      <c r="B4" s="40" t="n">
        <v>0</v>
      </c>
      <c r="C4" s="40" t="n">
        <v>1</v>
      </c>
      <c r="D4" s="40" t="n">
        <v>2</v>
      </c>
      <c r="E4" s="40" t="n">
        <v>3</v>
      </c>
      <c r="F4" s="40" t="n">
        <v>4</v>
      </c>
      <c r="G4" s="40" t="n">
        <v>5</v>
      </c>
      <c r="H4" s="40" t="n">
        <v>6</v>
      </c>
      <c r="I4" s="40" t="n">
        <v>7</v>
      </c>
      <c r="J4" s="40" t="n">
        <v>8</v>
      </c>
      <c r="K4" s="40" t="n">
        <v>9</v>
      </c>
      <c r="L4" s="40" t="n">
        <v>10</v>
      </c>
    </row>
    <row r="5" customFormat="false" ht="15" hidden="false" customHeight="true" outlineLevel="0" collapsed="false">
      <c r="A5" s="31" t="s">
        <v>230</v>
      </c>
      <c r="B5" s="32"/>
      <c r="C5" s="32" t="n">
        <f aca="false">Assunzioni!$B$8*(1+Assunzioni!$B$95)^0</f>
        <v>42000</v>
      </c>
      <c r="D5" s="32" t="n">
        <f aca="false">Assunzioni!$B$8*(1+Assunzioni!$B$95)^1</f>
        <v>42840</v>
      </c>
      <c r="E5" s="32" t="n">
        <f aca="false">Assunzioni!$B$8*(1+Assunzioni!$B$95)^2</f>
        <v>43696.8</v>
      </c>
      <c r="F5" s="32" t="n">
        <f aca="false">Assunzioni!$B$8*(1+Assunzioni!$B$95)^3</f>
        <v>44570.736</v>
      </c>
      <c r="G5" s="32" t="n">
        <f aca="false">Assunzioni!$B$8*(1+Assunzioni!$B$95)^4</f>
        <v>45462.15072</v>
      </c>
      <c r="H5" s="32" t="n">
        <f aca="false">Assunzioni!$B$8*(1+Assunzioni!$B$95)^5</f>
        <v>46371.3937344</v>
      </c>
      <c r="I5" s="32" t="n">
        <f aca="false">Assunzioni!$B$8*(1+Assunzioni!$B$95)^6</f>
        <v>47298.821609088</v>
      </c>
      <c r="J5" s="32" t="n">
        <f aca="false">Assunzioni!$B$8*(1+Assunzioni!$B$95)^7</f>
        <v>48244.7980412698</v>
      </c>
      <c r="K5" s="32" t="n">
        <f aca="false">Assunzioni!$B$8*(1+Assunzioni!$B$95)^8</f>
        <v>49209.6940020952</v>
      </c>
      <c r="L5" s="32" t="n">
        <f aca="false">Assunzioni!$B$8*(1+Assunzioni!$B$95)^9</f>
        <v>50193.8878821371</v>
      </c>
    </row>
    <row r="6" customFormat="false" ht="15" hidden="false" customHeight="true" outlineLevel="0" collapsed="false">
      <c r="A6" s="31" t="s">
        <v>288</v>
      </c>
      <c r="B6" s="32"/>
      <c r="C6" s="32" t="n">
        <f aca="false">-C5*Assunzioni!$B$89</f>
        <v>-0</v>
      </c>
      <c r="D6" s="32" t="n">
        <f aca="false">-D5*Assunzioni!$B$89</f>
        <v>-0</v>
      </c>
      <c r="E6" s="32" t="n">
        <f aca="false">-E5*Assunzioni!$B$89</f>
        <v>-0</v>
      </c>
      <c r="F6" s="32" t="n">
        <f aca="false">-F5*Assunzioni!$B$89</f>
        <v>-0</v>
      </c>
      <c r="G6" s="32" t="n">
        <f aca="false">-G5*Assunzioni!$B$89</f>
        <v>-0</v>
      </c>
      <c r="H6" s="32" t="n">
        <f aca="false">-H5*Assunzioni!$B$89</f>
        <v>-0</v>
      </c>
      <c r="I6" s="32" t="n">
        <f aca="false">-I5*Assunzioni!$B$89</f>
        <v>-0</v>
      </c>
      <c r="J6" s="32" t="n">
        <f aca="false">-J5*Assunzioni!$B$89</f>
        <v>-0</v>
      </c>
      <c r="K6" s="32" t="n">
        <f aca="false">-K5*Assunzioni!$B$89</f>
        <v>-0</v>
      </c>
      <c r="L6" s="32" t="n">
        <f aca="false">-L5*Assunzioni!$B$89</f>
        <v>-0</v>
      </c>
    </row>
    <row r="7" customFormat="false" ht="15" hidden="false" customHeight="true" outlineLevel="0" collapsed="false">
      <c r="A7" s="31" t="s">
        <v>289</v>
      </c>
      <c r="B7" s="32"/>
      <c r="C7" s="32" t="n">
        <f aca="false">-Assunzioni!$B$90</f>
        <v>-0</v>
      </c>
      <c r="D7" s="32" t="n">
        <f aca="false">-Assunzioni!$B$90</f>
        <v>-0</v>
      </c>
      <c r="E7" s="32" t="n">
        <f aca="false">-Assunzioni!$B$90</f>
        <v>-0</v>
      </c>
      <c r="F7" s="32" t="n">
        <f aca="false">-Assunzioni!$B$90</f>
        <v>-0</v>
      </c>
      <c r="G7" s="32" t="n">
        <f aca="false">-Assunzioni!$B$90</f>
        <v>-0</v>
      </c>
      <c r="H7" s="32" t="n">
        <f aca="false">-Assunzioni!$B$90</f>
        <v>-0</v>
      </c>
      <c r="I7" s="32" t="n">
        <f aca="false">-Assunzioni!$B$90</f>
        <v>-0</v>
      </c>
      <c r="J7" s="32" t="n">
        <f aca="false">-Assunzioni!$B$90</f>
        <v>-0</v>
      </c>
      <c r="K7" s="32" t="n">
        <f aca="false">-Assunzioni!$B$90</f>
        <v>-0</v>
      </c>
      <c r="L7" s="32" t="n">
        <f aca="false">-Assunzioni!$B$90</f>
        <v>-0</v>
      </c>
    </row>
    <row r="8" customFormat="false" ht="15" hidden="false" customHeight="true" outlineLevel="0" collapsed="false">
      <c r="A8" s="41" t="s">
        <v>233</v>
      </c>
      <c r="B8" s="42"/>
      <c r="C8" s="42" t="n">
        <f aca="false">SUM(C5:C7)</f>
        <v>42000</v>
      </c>
      <c r="D8" s="42" t="n">
        <f aca="false">SUM(D5:D7)</f>
        <v>42840</v>
      </c>
      <c r="E8" s="42" t="n">
        <f aca="false">SUM(E5:E7)</f>
        <v>43696.8</v>
      </c>
      <c r="F8" s="42" t="n">
        <f aca="false">SUM(F5:F7)</f>
        <v>44570.736</v>
      </c>
      <c r="G8" s="42" t="n">
        <f aca="false">SUM(G5:G7)</f>
        <v>45462.15072</v>
      </c>
      <c r="H8" s="42" t="n">
        <f aca="false">SUM(H5:H7)</f>
        <v>46371.3937344</v>
      </c>
      <c r="I8" s="42" t="n">
        <f aca="false">SUM(I5:I7)</f>
        <v>47298.821609088</v>
      </c>
      <c r="J8" s="42" t="n">
        <f aca="false">SUM(J5:J7)</f>
        <v>48244.7980412698</v>
      </c>
      <c r="K8" s="42" t="n">
        <f aca="false">SUM(K5:K7)</f>
        <v>49209.6940020952</v>
      </c>
      <c r="L8" s="42" t="n">
        <f aca="false">SUM(L5:L7)</f>
        <v>50193.8878821371</v>
      </c>
    </row>
    <row r="9" customFormat="false" ht="15" hidden="false" customHeight="true" outlineLevel="0" collapsed="false">
      <c r="A9" s="31" t="s">
        <v>290</v>
      </c>
      <c r="B9" s="32"/>
      <c r="C9" s="32" t="n">
        <f aca="false">-Assunzioni!$B$91</f>
        <v>-9000</v>
      </c>
      <c r="D9" s="32" t="n">
        <f aca="false">-Assunzioni!$B$91</f>
        <v>-9000</v>
      </c>
      <c r="E9" s="32" t="n">
        <f aca="false">-Assunzioni!$B$91</f>
        <v>-9000</v>
      </c>
      <c r="F9" s="32" t="n">
        <f aca="false">-Assunzioni!$B$91</f>
        <v>-9000</v>
      </c>
      <c r="G9" s="32" t="n">
        <f aca="false">-Assunzioni!$B$91</f>
        <v>-9000</v>
      </c>
      <c r="H9" s="32" t="n">
        <f aca="false">-Assunzioni!$B$91</f>
        <v>-9000</v>
      </c>
      <c r="I9" s="32" t="n">
        <f aca="false">-Assunzioni!$B$91</f>
        <v>-9000</v>
      </c>
      <c r="J9" s="32" t="n">
        <f aca="false">-Assunzioni!$B$91</f>
        <v>-9000</v>
      </c>
      <c r="K9" s="32" t="n">
        <f aca="false">-Assunzioni!$B$91</f>
        <v>-9000</v>
      </c>
      <c r="L9" s="32" t="n">
        <f aca="false">-Assunzioni!$B$91</f>
        <v>-9000</v>
      </c>
    </row>
    <row r="10" customFormat="false" ht="15" hidden="false" customHeight="true" outlineLevel="0" collapsed="false">
      <c r="A10" s="31" t="s">
        <v>235</v>
      </c>
      <c r="B10" s="32"/>
      <c r="C10" s="32" t="n">
        <f aca="false">-Assunzioni!$B$92*(1+Assunzioni!$B$9)^0</f>
        <v>-5000</v>
      </c>
      <c r="D10" s="32" t="n">
        <f aca="false">-Assunzioni!$B$92*(1+Assunzioni!$B$9)^1</f>
        <v>-5100</v>
      </c>
      <c r="E10" s="32" t="n">
        <f aca="false">-Assunzioni!$B$92*(1+Assunzioni!$B$9)^2</f>
        <v>-5202</v>
      </c>
      <c r="F10" s="32" t="n">
        <f aca="false">-Assunzioni!$B$92*(1+Assunzioni!$B$9)^3</f>
        <v>-5306.04</v>
      </c>
      <c r="G10" s="32" t="n">
        <f aca="false">-Assunzioni!$B$92*(1+Assunzioni!$B$9)^4</f>
        <v>-5412.1608</v>
      </c>
      <c r="H10" s="32" t="n">
        <f aca="false">-Assunzioni!$B$92*(1+Assunzioni!$B$9)^5</f>
        <v>-5520.404016</v>
      </c>
      <c r="I10" s="32" t="n">
        <f aca="false">-Assunzioni!$B$92*(1+Assunzioni!$B$9)^6</f>
        <v>-5630.81209632</v>
      </c>
      <c r="J10" s="32" t="n">
        <f aca="false">-Assunzioni!$B$92*(1+Assunzioni!$B$9)^7</f>
        <v>-5743.4283382464</v>
      </c>
      <c r="K10" s="32" t="n">
        <f aca="false">-Assunzioni!$B$92*(1+Assunzioni!$B$9)^8</f>
        <v>-5858.29690501133</v>
      </c>
      <c r="L10" s="32" t="n">
        <f aca="false">-Assunzioni!$B$92*(1+Assunzioni!$B$9)^9</f>
        <v>-5975.46284311156</v>
      </c>
    </row>
    <row r="11" customFormat="false" ht="15" hidden="false" customHeight="true" outlineLevel="0" collapsed="false">
      <c r="A11" s="31" t="s">
        <v>291</v>
      </c>
      <c r="B11" s="32"/>
      <c r="C11" s="32" t="n">
        <f aca="false">-Assunzioni!$B$93*(1+Assunzioni!$B$9)^0</f>
        <v>-3000</v>
      </c>
      <c r="D11" s="32" t="n">
        <f aca="false">-Assunzioni!$B$93*(1+Assunzioni!$B$9)^1</f>
        <v>-3060</v>
      </c>
      <c r="E11" s="32" t="n">
        <f aca="false">-Assunzioni!$B$93*(1+Assunzioni!$B$9)^2</f>
        <v>-3121.2</v>
      </c>
      <c r="F11" s="32" t="n">
        <f aca="false">-Assunzioni!$B$93*(1+Assunzioni!$B$9)^3</f>
        <v>-3183.624</v>
      </c>
      <c r="G11" s="32" t="n">
        <f aca="false">-Assunzioni!$B$93*(1+Assunzioni!$B$9)^4</f>
        <v>-3247.29648</v>
      </c>
      <c r="H11" s="32" t="n">
        <f aca="false">-Assunzioni!$B$93*(1+Assunzioni!$B$9)^5</f>
        <v>-3312.2424096</v>
      </c>
      <c r="I11" s="32" t="n">
        <f aca="false">-Assunzioni!$B$93*(1+Assunzioni!$B$9)^6</f>
        <v>-3378.487257792</v>
      </c>
      <c r="J11" s="32" t="n">
        <f aca="false">-Assunzioni!$B$93*(1+Assunzioni!$B$9)^7</f>
        <v>-3446.05700294784</v>
      </c>
      <c r="K11" s="32" t="n">
        <f aca="false">-Assunzioni!$B$93*(1+Assunzioni!$B$9)^8</f>
        <v>-3514.9781430068</v>
      </c>
      <c r="L11" s="32" t="n">
        <f aca="false">-Assunzioni!$B$93*(1+Assunzioni!$B$9)^9</f>
        <v>-3585.27770586693</v>
      </c>
    </row>
    <row r="12" customFormat="false" ht="15" hidden="false" customHeight="true" outlineLevel="0" collapsed="false">
      <c r="A12" s="31" t="s">
        <v>237</v>
      </c>
      <c r="B12" s="32"/>
      <c r="C12" s="32" t="n">
        <f aca="false">-Assunzioni!$B$94*(1+Assunzioni!$B$9)^0</f>
        <v>-3000</v>
      </c>
      <c r="D12" s="32" t="n">
        <f aca="false">-Assunzioni!$B$94*(1+Assunzioni!$B$9)^1</f>
        <v>-3060</v>
      </c>
      <c r="E12" s="32" t="n">
        <f aca="false">-Assunzioni!$B$94*(1+Assunzioni!$B$9)^2</f>
        <v>-3121.2</v>
      </c>
      <c r="F12" s="32" t="n">
        <f aca="false">-Assunzioni!$B$94*(1+Assunzioni!$B$9)^3</f>
        <v>-3183.624</v>
      </c>
      <c r="G12" s="32" t="n">
        <f aca="false">-Assunzioni!$B$94*(1+Assunzioni!$B$9)^4</f>
        <v>-3247.29648</v>
      </c>
      <c r="H12" s="32" t="n">
        <f aca="false">-Assunzioni!$B$94*(1+Assunzioni!$B$9)^5</f>
        <v>-3312.2424096</v>
      </c>
      <c r="I12" s="32" t="n">
        <f aca="false">-Assunzioni!$B$94*(1+Assunzioni!$B$9)^6</f>
        <v>-3378.487257792</v>
      </c>
      <c r="J12" s="32" t="n">
        <f aca="false">-Assunzioni!$B$94*(1+Assunzioni!$B$9)^7</f>
        <v>-3446.05700294784</v>
      </c>
      <c r="K12" s="32" t="n">
        <f aca="false">-Assunzioni!$B$94*(1+Assunzioni!$B$9)^8</f>
        <v>-3514.9781430068</v>
      </c>
      <c r="L12" s="32" t="n">
        <f aca="false">-Assunzioni!$B$94*(1+Assunzioni!$B$9)^9</f>
        <v>-3585.27770586693</v>
      </c>
    </row>
    <row r="13" customFormat="false" ht="15" hidden="false" customHeight="true" outlineLevel="0" collapsed="false">
      <c r="A13" s="31" t="s">
        <v>238</v>
      </c>
      <c r="B13" s="32"/>
      <c r="C13" s="32" t="n">
        <f aca="false">-C8*Assunzioni!$B$31</f>
        <v>-210</v>
      </c>
      <c r="D13" s="32" t="n">
        <f aca="false">-D8*Assunzioni!$B$31</f>
        <v>-214.2</v>
      </c>
      <c r="E13" s="32" t="n">
        <f aca="false">-E8*Assunzioni!$B$31</f>
        <v>-218.484</v>
      </c>
      <c r="F13" s="32" t="n">
        <f aca="false">-F8*Assunzioni!$B$31</f>
        <v>-222.85368</v>
      </c>
      <c r="G13" s="32" t="n">
        <f aca="false">-G8*Assunzioni!$B$31</f>
        <v>-227.3107536</v>
      </c>
      <c r="H13" s="32" t="n">
        <f aca="false">-H8*Assunzioni!$B$31</f>
        <v>-231.856968672</v>
      </c>
      <c r="I13" s="32" t="n">
        <f aca="false">-I8*Assunzioni!$B$31</f>
        <v>-236.49410804544</v>
      </c>
      <c r="J13" s="32" t="n">
        <f aca="false">-J8*Assunzioni!$B$31</f>
        <v>-241.223990206349</v>
      </c>
      <c r="K13" s="32" t="n">
        <f aca="false">-K8*Assunzioni!$B$31</f>
        <v>-246.048470010476</v>
      </c>
      <c r="L13" s="32" t="n">
        <f aca="false">-L8*Assunzioni!$B$31</f>
        <v>-250.969439410685</v>
      </c>
    </row>
    <row r="14" customFormat="false" ht="15" hidden="false" customHeight="true" outlineLevel="0" collapsed="false">
      <c r="A14" s="43" t="s">
        <v>239</v>
      </c>
      <c r="B14" s="44"/>
      <c r="C14" s="44" t="n">
        <f aca="false">SUM(C9:C13)</f>
        <v>-20210</v>
      </c>
      <c r="D14" s="44" t="n">
        <f aca="false">SUM(D9:D13)</f>
        <v>-20434.2</v>
      </c>
      <c r="E14" s="44" t="n">
        <f aca="false">SUM(E9:E13)</f>
        <v>-20662.884</v>
      </c>
      <c r="F14" s="44" t="n">
        <f aca="false">SUM(F9:F13)</f>
        <v>-20896.14168</v>
      </c>
      <c r="G14" s="44" t="n">
        <f aca="false">SUM(G9:G13)</f>
        <v>-21134.0645136</v>
      </c>
      <c r="H14" s="44" t="n">
        <f aca="false">SUM(H9:H13)</f>
        <v>-21376.745803872</v>
      </c>
      <c r="I14" s="44" t="n">
        <f aca="false">SUM(I9:I13)</f>
        <v>-21624.2807199494</v>
      </c>
      <c r="J14" s="44" t="n">
        <f aca="false">SUM(J9:J13)</f>
        <v>-21876.7663343484</v>
      </c>
      <c r="K14" s="44" t="n">
        <f aca="false">SUM(K9:K13)</f>
        <v>-22134.3016610354</v>
      </c>
      <c r="L14" s="44" t="n">
        <f aca="false">SUM(L9:L13)</f>
        <v>-22396.9876942561</v>
      </c>
    </row>
    <row r="15" customFormat="false" ht="15" hidden="false" customHeight="true" outlineLevel="0" collapsed="false">
      <c r="A15" s="45" t="s">
        <v>240</v>
      </c>
      <c r="B15" s="46"/>
      <c r="C15" s="46" t="n">
        <f aca="false">C8+C14</f>
        <v>21790</v>
      </c>
      <c r="D15" s="46" t="n">
        <f aca="false">D8+D14</f>
        <v>22405.8</v>
      </c>
      <c r="E15" s="46" t="n">
        <f aca="false">E8+E14</f>
        <v>23033.916</v>
      </c>
      <c r="F15" s="46" t="n">
        <f aca="false">F8+F14</f>
        <v>23674.59432</v>
      </c>
      <c r="G15" s="46" t="n">
        <f aca="false">G8+G14</f>
        <v>24328.0862064</v>
      </c>
      <c r="H15" s="46" t="n">
        <f aca="false">H8+H14</f>
        <v>24994.647930528</v>
      </c>
      <c r="I15" s="46" t="n">
        <f aca="false">I8+I14</f>
        <v>25674.5408891386</v>
      </c>
      <c r="J15" s="46" t="n">
        <f aca="false">J8+J14</f>
        <v>26368.0317069213</v>
      </c>
      <c r="K15" s="46" t="n">
        <f aca="false">K8+K14</f>
        <v>27075.3923410598</v>
      </c>
      <c r="L15" s="46" t="n">
        <f aca="false">L8+L14</f>
        <v>27796.900187881</v>
      </c>
    </row>
    <row r="16" customFormat="false" ht="15" hidden="false" customHeight="true" outlineLevel="0" collapsed="false">
      <c r="A16" s="31" t="s">
        <v>241</v>
      </c>
      <c r="B16" s="32"/>
      <c r="C16" s="32" t="n">
        <f aca="false">-Assunzioni!$B$51*0.5</f>
        <v>-3994.2</v>
      </c>
      <c r="D16" s="32" t="n">
        <f aca="false">-Assunzioni!$B$51</f>
        <v>-7988.4</v>
      </c>
      <c r="E16" s="32" t="n">
        <f aca="false">-Assunzioni!$B$51</f>
        <v>-7988.4</v>
      </c>
      <c r="F16" s="32" t="n">
        <f aca="false">-Assunzioni!$B$51</f>
        <v>-7988.4</v>
      </c>
      <c r="G16" s="32" t="n">
        <f aca="false">-Assunzioni!$B$51</f>
        <v>-7988.4</v>
      </c>
      <c r="H16" s="32" t="n">
        <f aca="false">-Assunzioni!$B$51</f>
        <v>-7988.4</v>
      </c>
      <c r="I16" s="32" t="n">
        <f aca="false">-Assunzioni!$B$51</f>
        <v>-7988.4</v>
      </c>
      <c r="J16" s="32" t="n">
        <f aca="false">-Assunzioni!$B$51</f>
        <v>-7988.4</v>
      </c>
      <c r="K16" s="32" t="n">
        <f aca="false">-Assunzioni!$B$51</f>
        <v>-7988.4</v>
      </c>
      <c r="L16" s="32" t="n">
        <f aca="false">-Assunzioni!$B$51</f>
        <v>-7988.4</v>
      </c>
    </row>
    <row r="17" customFormat="false" ht="15" hidden="false" customHeight="true" outlineLevel="0" collapsed="false">
      <c r="A17" s="47" t="s">
        <v>242</v>
      </c>
      <c r="B17" s="48"/>
      <c r="C17" s="48" t="n">
        <f aca="false">C15+C16</f>
        <v>17795.8</v>
      </c>
      <c r="D17" s="48" t="n">
        <f aca="false">D15+D16</f>
        <v>14417.4</v>
      </c>
      <c r="E17" s="48" t="n">
        <f aca="false">E15+E16</f>
        <v>15045.516</v>
      </c>
      <c r="F17" s="48" t="n">
        <f aca="false">F15+F16</f>
        <v>15686.19432</v>
      </c>
      <c r="G17" s="48" t="n">
        <f aca="false">G15+G16</f>
        <v>16339.6862064</v>
      </c>
      <c r="H17" s="48" t="n">
        <f aca="false">H15+H16</f>
        <v>17006.247930528</v>
      </c>
      <c r="I17" s="48" t="n">
        <f aca="false">I15+I16</f>
        <v>17686.1408891386</v>
      </c>
      <c r="J17" s="48" t="n">
        <f aca="false">J15+J16</f>
        <v>18379.6317069213</v>
      </c>
      <c r="K17" s="48" t="n">
        <f aca="false">K15+K16</f>
        <v>19086.9923410598</v>
      </c>
      <c r="L17" s="48" t="n">
        <f aca="false">L15+L16</f>
        <v>19808.500187881</v>
      </c>
    </row>
    <row r="19" customFormat="false" ht="15" hidden="false" customHeight="true" outlineLevel="0" collapsed="false">
      <c r="A19" s="31" t="s">
        <v>245</v>
      </c>
      <c r="B19" s="32"/>
      <c r="C19" s="32" t="n">
        <f aca="false">-MAX(0,C17)*Assunzioni!$B$45</f>
        <v>-4270.992</v>
      </c>
      <c r="D19" s="32" t="n">
        <f aca="false">-MAX(0,D17)*Assunzioni!$B$45</f>
        <v>-3460.176</v>
      </c>
      <c r="E19" s="32" t="n">
        <f aca="false">-MAX(0,E17)*Assunzioni!$B$45</f>
        <v>-3610.92384</v>
      </c>
      <c r="F19" s="32" t="n">
        <f aca="false">-MAX(0,F17)*Assunzioni!$B$45</f>
        <v>-3764.6866368</v>
      </c>
      <c r="G19" s="32" t="n">
        <f aca="false">-MAX(0,G17)*Assunzioni!$B$45</f>
        <v>-3921.524689536</v>
      </c>
      <c r="H19" s="32" t="n">
        <f aca="false">-MAX(0,H17)*Assunzioni!$B$45</f>
        <v>-4081.49950332672</v>
      </c>
      <c r="I19" s="32" t="n">
        <f aca="false">-MAX(0,I17)*Assunzioni!$B$45</f>
        <v>-4244.67381339325</v>
      </c>
      <c r="J19" s="32" t="n">
        <f aca="false">-MAX(0,J17)*Assunzioni!$B$45</f>
        <v>-4411.11160966112</v>
      </c>
      <c r="K19" s="32" t="n">
        <f aca="false">-MAX(0,K17)*Assunzioni!$B$45</f>
        <v>-4580.87816185434</v>
      </c>
      <c r="L19" s="32" t="n">
        <f aca="false">-MAX(0,L17)*Assunzioni!$B$45</f>
        <v>-4754.04004509143</v>
      </c>
    </row>
    <row r="20" customFormat="false" ht="15" hidden="false" customHeight="true" outlineLevel="0" collapsed="false">
      <c r="A20" s="31" t="s">
        <v>292</v>
      </c>
      <c r="B20" s="32"/>
      <c r="C20" s="32" t="n">
        <f aca="false">-MAX(0,C17-C9)*Assunzioni!$B$46</f>
        <v>-1045.0362</v>
      </c>
      <c r="D20" s="32" t="n">
        <f aca="false">-MAX(0,D17-D9)*Assunzioni!$B$46</f>
        <v>-913.2786</v>
      </c>
      <c r="E20" s="32" t="n">
        <f aca="false">-MAX(0,E17-E9)*Assunzioni!$B$46</f>
        <v>-937.775124</v>
      </c>
      <c r="F20" s="32" t="n">
        <f aca="false">-MAX(0,F17-F9)*Assunzioni!$B$46</f>
        <v>-962.76157848</v>
      </c>
      <c r="G20" s="32" t="n">
        <f aca="false">-MAX(0,G17-G9)*Assunzioni!$B$46</f>
        <v>-988.2477620496</v>
      </c>
      <c r="H20" s="32" t="n">
        <f aca="false">-MAX(0,H17-H9)*Assunzioni!$B$46</f>
        <v>-1014.24366929059</v>
      </c>
      <c r="I20" s="32" t="n">
        <f aca="false">-MAX(0,I17-I9)*Assunzioni!$B$46</f>
        <v>-1040.7594946764</v>
      </c>
      <c r="J20" s="32" t="n">
        <f aca="false">-MAX(0,J17-J9)*Assunzioni!$B$46</f>
        <v>-1067.80563656993</v>
      </c>
      <c r="K20" s="32" t="n">
        <f aca="false">-MAX(0,K17-K9)*Assunzioni!$B$46</f>
        <v>-1095.39270130133</v>
      </c>
      <c r="L20" s="32" t="n">
        <f aca="false">-MAX(0,L17-L9)*Assunzioni!$B$46</f>
        <v>-1123.53150732736</v>
      </c>
    </row>
    <row r="21" customFormat="false" ht="15" hidden="false" customHeight="true" outlineLevel="0" collapsed="false">
      <c r="A21" s="49" t="s">
        <v>248</v>
      </c>
      <c r="B21" s="50"/>
      <c r="C21" s="50" t="n">
        <f aca="false">C17+C19+C20</f>
        <v>12479.7718</v>
      </c>
      <c r="D21" s="50" t="n">
        <f aca="false">D17+D19+D20</f>
        <v>10043.9454</v>
      </c>
      <c r="E21" s="50" t="n">
        <f aca="false">E17+E19+E20</f>
        <v>10496.817036</v>
      </c>
      <c r="F21" s="50" t="n">
        <f aca="false">F17+F19+F20</f>
        <v>10958.74610472</v>
      </c>
      <c r="G21" s="50" t="n">
        <f aca="false">G17+G19+G20</f>
        <v>11429.9137548144</v>
      </c>
      <c r="H21" s="50" t="n">
        <f aca="false">H17+H19+H20</f>
        <v>11910.5047579107</v>
      </c>
      <c r="I21" s="50" t="n">
        <f aca="false">I17+I19+I20</f>
        <v>12400.7075810689</v>
      </c>
      <c r="J21" s="50" t="n">
        <f aca="false">J17+J19+J20</f>
        <v>12900.7144606903</v>
      </c>
      <c r="K21" s="50" t="n">
        <f aca="false">K17+K19+K20</f>
        <v>13410.7214779041</v>
      </c>
      <c r="L21" s="50" t="n">
        <f aca="false">L17+L19+L20</f>
        <v>13930.9286354622</v>
      </c>
    </row>
    <row r="23" customFormat="false" ht="15" hidden="false" customHeight="true" outlineLevel="0" collapsed="false">
      <c r="A23" s="31" t="s">
        <v>250</v>
      </c>
      <c r="B23" s="32"/>
      <c r="C23" s="32" t="n">
        <f aca="false">-C16</f>
        <v>3994.2</v>
      </c>
      <c r="D23" s="32" t="n">
        <f aca="false">-D16</f>
        <v>7988.4</v>
      </c>
      <c r="E23" s="32" t="n">
        <f aca="false">-E16</f>
        <v>7988.4</v>
      </c>
      <c r="F23" s="32" t="n">
        <f aca="false">-F16</f>
        <v>7988.4</v>
      </c>
      <c r="G23" s="32" t="n">
        <f aca="false">-G16</f>
        <v>7988.4</v>
      </c>
      <c r="H23" s="32" t="n">
        <f aca="false">-H16</f>
        <v>7988.4</v>
      </c>
      <c r="I23" s="32" t="n">
        <f aca="false">-I16</f>
        <v>7988.4</v>
      </c>
      <c r="J23" s="32" t="n">
        <f aca="false">-J16</f>
        <v>7988.4</v>
      </c>
      <c r="K23" s="32" t="n">
        <f aca="false">-K16</f>
        <v>7988.4</v>
      </c>
      <c r="L23" s="32" t="n">
        <f aca="false">-L16</f>
        <v>7988.4</v>
      </c>
    </row>
    <row r="24" customFormat="false" ht="15" hidden="false" customHeight="true" outlineLevel="0" collapsed="false">
      <c r="A24" s="31" t="s">
        <v>293</v>
      </c>
      <c r="B24" s="32"/>
      <c r="C24" s="32" t="n">
        <f aca="false">0</f>
        <v>0</v>
      </c>
      <c r="D24" s="32" t="n">
        <f aca="false">0</f>
        <v>0</v>
      </c>
      <c r="E24" s="32" t="n">
        <f aca="false">0</f>
        <v>0</v>
      </c>
      <c r="F24" s="32" t="n">
        <f aca="false">0</f>
        <v>0</v>
      </c>
      <c r="G24" s="32" t="n">
        <f aca="false">-Assunzioni!$B$96</f>
        <v>-0</v>
      </c>
      <c r="H24" s="32" t="n">
        <f aca="false">0</f>
        <v>0</v>
      </c>
      <c r="I24" s="32" t="n">
        <f aca="false">0</f>
        <v>0</v>
      </c>
      <c r="J24" s="32" t="n">
        <f aca="false">-Assunzioni!$B$97</f>
        <v>-0</v>
      </c>
      <c r="K24" s="32" t="n">
        <f aca="false">0</f>
        <v>0</v>
      </c>
      <c r="L24" s="32" t="n">
        <f aca="false">0</f>
        <v>0</v>
      </c>
    </row>
    <row r="25" customFormat="false" ht="15" hidden="false" customHeight="true" outlineLevel="0" collapsed="false">
      <c r="A25" s="31" t="s">
        <v>294</v>
      </c>
      <c r="B25" s="32"/>
      <c r="C25" s="32" t="n">
        <f aca="false">0</f>
        <v>0</v>
      </c>
      <c r="D25" s="32" t="n">
        <f aca="false">0</f>
        <v>0</v>
      </c>
      <c r="E25" s="32" t="n">
        <f aca="false">0</f>
        <v>0</v>
      </c>
      <c r="F25" s="32" t="n">
        <f aca="false">0</f>
        <v>0</v>
      </c>
      <c r="G25" s="32" t="n">
        <f aca="false">0</f>
        <v>0</v>
      </c>
      <c r="H25" s="32" t="n">
        <f aca="false">-Assunzioni!$B$98</f>
        <v>-0</v>
      </c>
      <c r="I25" s="32" t="n">
        <f aca="false">0</f>
        <v>0</v>
      </c>
      <c r="J25" s="32" t="n">
        <f aca="false">0</f>
        <v>0</v>
      </c>
      <c r="K25" s="32" t="n">
        <f aca="false">0</f>
        <v>0</v>
      </c>
      <c r="L25" s="32" t="n">
        <f aca="false">0</f>
        <v>0</v>
      </c>
    </row>
    <row r="26" customFormat="false" ht="15" hidden="false" customHeight="true" outlineLevel="0" collapsed="false">
      <c r="A26" s="49" t="s">
        <v>253</v>
      </c>
      <c r="B26" s="50"/>
      <c r="C26" s="50" t="n">
        <f aca="false">C21+C23+C24+C25</f>
        <v>16473.9718</v>
      </c>
      <c r="D26" s="50" t="n">
        <f aca="false">D21+D23+D24+D25</f>
        <v>18032.3454</v>
      </c>
      <c r="E26" s="50" t="n">
        <f aca="false">E21+E23+E24+E25</f>
        <v>18485.217036</v>
      </c>
      <c r="F26" s="50" t="n">
        <f aca="false">F21+F23+F24+F25</f>
        <v>18947.14610472</v>
      </c>
      <c r="G26" s="50" t="n">
        <f aca="false">G21+G23+G24+G25</f>
        <v>19418.3137548144</v>
      </c>
      <c r="H26" s="50" t="n">
        <f aca="false">H21+H23+H24+H25</f>
        <v>19898.9047579107</v>
      </c>
      <c r="I26" s="50" t="n">
        <f aca="false">I21+I23+I24+I25</f>
        <v>20389.1075810689</v>
      </c>
      <c r="J26" s="50" t="n">
        <f aca="false">J21+J23+J24+J25</f>
        <v>20889.1144606903</v>
      </c>
      <c r="K26" s="50" t="n">
        <f aca="false">K21+K23+K24+K25</f>
        <v>21399.1214779041</v>
      </c>
      <c r="L26" s="50" t="n">
        <f aca="false">L21+L23+L24+L25</f>
        <v>21919.3286354622</v>
      </c>
    </row>
    <row r="28" customFormat="false" ht="15" hidden="false" customHeight="true" outlineLevel="0" collapsed="false">
      <c r="A28" s="31" t="s">
        <v>254</v>
      </c>
      <c r="B28" s="32" t="n">
        <f aca="false">-Assunzioni!$B$23</f>
        <v>-385400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customFormat="false" ht="15" hidden="false" customHeight="true" outlineLevel="0" collapsed="false">
      <c r="A29" s="31" t="s">
        <v>295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 t="n">
        <f aca="false">Assunzioni!$B$105</f>
        <v>458080.261293843</v>
      </c>
    </row>
    <row r="30" customFormat="false" ht="15" hidden="false" customHeight="true" outlineLevel="0" collapsed="false">
      <c r="A30" s="41" t="s">
        <v>256</v>
      </c>
      <c r="B30" s="42" t="n">
        <f aca="false">B28</f>
        <v>-385400</v>
      </c>
      <c r="C30" s="42" t="n">
        <f aca="false">C26</f>
        <v>16473.9718</v>
      </c>
      <c r="D30" s="42" t="n">
        <f aca="false">D26</f>
        <v>18032.3454</v>
      </c>
      <c r="E30" s="42" t="n">
        <f aca="false">E26</f>
        <v>18485.217036</v>
      </c>
      <c r="F30" s="42" t="n">
        <f aca="false">F26</f>
        <v>18947.14610472</v>
      </c>
      <c r="G30" s="42" t="n">
        <f aca="false">G26</f>
        <v>19418.3137548144</v>
      </c>
      <c r="H30" s="42" t="n">
        <f aca="false">H26</f>
        <v>19898.9047579107</v>
      </c>
      <c r="I30" s="42" t="n">
        <f aca="false">I26</f>
        <v>20389.1075810689</v>
      </c>
      <c r="J30" s="42" t="n">
        <f aca="false">J26</f>
        <v>20889.1144606903</v>
      </c>
      <c r="K30" s="42" t="n">
        <f aca="false">K26</f>
        <v>21399.1214779041</v>
      </c>
      <c r="L30" s="42" t="n">
        <f aca="false">L26+L29</f>
        <v>479999.589929305</v>
      </c>
    </row>
    <row r="31" customFormat="false" ht="15" hidden="false" customHeight="true" outlineLevel="0" collapsed="false">
      <c r="A31" s="31" t="s">
        <v>257</v>
      </c>
      <c r="B31" s="32" t="n">
        <f aca="false">B30</f>
        <v>-385400</v>
      </c>
      <c r="C31" s="32" t="n">
        <f aca="false">B31+C30</f>
        <v>-368926.0282</v>
      </c>
      <c r="D31" s="32" t="n">
        <f aca="false">C31+D30</f>
        <v>-350893.6828</v>
      </c>
      <c r="E31" s="32" t="n">
        <f aca="false">D31+E30</f>
        <v>-332408.465764</v>
      </c>
      <c r="F31" s="32" t="n">
        <f aca="false">E31+F30</f>
        <v>-313461.31965928</v>
      </c>
      <c r="G31" s="32" t="n">
        <f aca="false">F31+G30</f>
        <v>-294043.005904466</v>
      </c>
      <c r="H31" s="32" t="n">
        <f aca="false">G31+H30</f>
        <v>-274144.101146555</v>
      </c>
      <c r="I31" s="32" t="n">
        <f aca="false">H31+I30</f>
        <v>-253754.993565486</v>
      </c>
      <c r="J31" s="32" t="n">
        <f aca="false">I31+J30</f>
        <v>-232865.879104796</v>
      </c>
      <c r="K31" s="32" t="n">
        <f aca="false">J31+K30</f>
        <v>-211466.757626892</v>
      </c>
      <c r="L31" s="32" t="n">
        <f aca="false">K31+L30</f>
        <v>268532.832302413</v>
      </c>
    </row>
    <row r="32" customFormat="false" ht="15" hidden="false" customHeight="true" outlineLevel="0" collapsed="false">
      <c r="A32" s="31" t="s">
        <v>258</v>
      </c>
      <c r="B32" s="32" t="n">
        <f aca="false">0</f>
        <v>0</v>
      </c>
      <c r="C32" s="32" t="n">
        <f aca="false">B32*(1+Assunzioni!$B$85)+C26</f>
        <v>16473.9718</v>
      </c>
      <c r="D32" s="32" t="n">
        <f aca="false">C32*(1+Assunzioni!$B$85)+D26</f>
        <v>34918.166495</v>
      </c>
      <c r="E32" s="32" t="n">
        <f aca="false">D32*(1+Assunzioni!$B$85)+E26</f>
        <v>54276.337693375</v>
      </c>
      <c r="F32" s="32" t="n">
        <f aca="false">E32*(1+Assunzioni!$B$85)+F26</f>
        <v>74580.3922404294</v>
      </c>
      <c r="G32" s="32" t="n">
        <f aca="false">F32*(1+Assunzioni!$B$85)+G26</f>
        <v>95863.2158012545</v>
      </c>
      <c r="H32" s="32" t="n">
        <f aca="false">G32*(1+Assunzioni!$B$85)+H26</f>
        <v>118158.700954197</v>
      </c>
      <c r="I32" s="32" t="n">
        <f aca="false">H32*(1+Assunzioni!$B$85)+I26</f>
        <v>141501.77605912</v>
      </c>
      <c r="J32" s="32" t="n">
        <f aca="false">I32*(1+Assunzioni!$B$85)+J26</f>
        <v>165928.434921289</v>
      </c>
      <c r="K32" s="32" t="n">
        <f aca="false">J32*(1+Assunzioni!$B$85)+K26</f>
        <v>191475.767272225</v>
      </c>
      <c r="L32" s="32" t="n">
        <f aca="false">K32*(1+Assunzioni!$B$85)+L26</f>
        <v>218181.990089493</v>
      </c>
    </row>
    <row r="33" customFormat="false" ht="15" hidden="false" customHeight="true" outlineLevel="0" collapsed="false">
      <c r="A33" s="49" t="s">
        <v>259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 t="n">
        <f aca="false">L32+L29</f>
        <v>676262.251383336</v>
      </c>
    </row>
    <row r="36" customFormat="false" ht="15" hidden="false" customHeight="true" outlineLevel="0" collapsed="false">
      <c r="A36" s="18" t="s">
        <v>260</v>
      </c>
      <c r="B36" s="19"/>
      <c r="C36" s="19"/>
      <c r="D36" s="19"/>
    </row>
    <row r="37" customFormat="false" ht="15" hidden="false" customHeight="true" outlineLevel="0" collapsed="false">
      <c r="A37" s="4" t="s">
        <v>261</v>
      </c>
      <c r="B37" s="53" t="n">
        <f aca="false">IFERROR(IRR(B30:L30),"n.d.")</f>
        <v>0.064128461246675</v>
      </c>
    </row>
    <row r="38" customFormat="false" ht="15" hidden="false" customHeight="true" outlineLevel="0" collapsed="false">
      <c r="A38" s="4" t="s">
        <v>262</v>
      </c>
      <c r="B38" s="54" t="n">
        <f aca="false">(SUM(C26:L26)+L29)/-B28</f>
        <v>1.69676396549666</v>
      </c>
    </row>
    <row r="39" customFormat="false" ht="15" hidden="false" customHeight="true" outlineLevel="0" collapsed="false">
      <c r="A39" s="4" t="s">
        <v>14</v>
      </c>
      <c r="B39" s="55" t="n">
        <f aca="false">L33</f>
        <v>676262.251383336</v>
      </c>
    </row>
    <row r="40" customFormat="false" ht="15" hidden="false" customHeight="true" outlineLevel="0" collapsed="false">
      <c r="A40" s="4" t="s">
        <v>263</v>
      </c>
      <c r="B40" s="53" t="n">
        <f aca="false">IFERROR((L33/-B28)^(1/10)-1,"n.d.")</f>
        <v>0.0578408735646541</v>
      </c>
    </row>
    <row r="41" customFormat="false" ht="15" hidden="false" customHeight="true" outlineLevel="0" collapsed="false">
      <c r="A41" s="4" t="s">
        <v>296</v>
      </c>
      <c r="B41" s="55" t="n">
        <f aca="false">NPV(Assunzioni!$B$86,C30:L30)+B30</f>
        <v>-44109.9901894224</v>
      </c>
    </row>
    <row r="42" customFormat="false" ht="15" hidden="false" customHeight="true" outlineLevel="0" collapsed="false">
      <c r="A42" s="4" t="s">
        <v>264</v>
      </c>
      <c r="B42" s="53" t="n">
        <f aca="false">C26/-B28</f>
        <v>0.0427451266216918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13" min="2" style="1" width="12.5"/>
  </cols>
  <sheetData>
    <row r="1" customFormat="false" ht="18" hidden="false" customHeight="true" outlineLevel="0" collapsed="false">
      <c r="A1" s="2" t="s">
        <v>297</v>
      </c>
    </row>
    <row r="2" customFormat="false" ht="15" hidden="false" customHeight="true" outlineLevel="0" collapsed="false">
      <c r="A2" s="3" t="s">
        <v>298</v>
      </c>
    </row>
    <row r="4" customFormat="false" ht="15" hidden="false" customHeight="true" outlineLevel="0" collapsed="false">
      <c r="A4" s="18" t="s">
        <v>229</v>
      </c>
      <c r="B4" s="40" t="n">
        <v>0</v>
      </c>
      <c r="C4" s="40" t="n">
        <v>1</v>
      </c>
      <c r="D4" s="40" t="n">
        <v>2</v>
      </c>
      <c r="E4" s="40" t="n">
        <v>3</v>
      </c>
      <c r="F4" s="40" t="n">
        <v>4</v>
      </c>
      <c r="G4" s="40" t="n">
        <v>5</v>
      </c>
      <c r="H4" s="40" t="n">
        <v>6</v>
      </c>
      <c r="I4" s="40" t="n">
        <v>7</v>
      </c>
      <c r="J4" s="40" t="n">
        <v>8</v>
      </c>
      <c r="K4" s="40" t="n">
        <v>9</v>
      </c>
      <c r="L4" s="40" t="n">
        <v>10</v>
      </c>
    </row>
    <row r="5" customFormat="false" ht="15" hidden="false" customHeight="true" outlineLevel="0" collapsed="false">
      <c r="A5" s="31" t="s">
        <v>299</v>
      </c>
      <c r="B5" s="32" t="n">
        <f aca="false">Assunzioni!$B$23</f>
        <v>385400</v>
      </c>
      <c r="C5" s="32" t="n">
        <f aca="false">B5</f>
        <v>385400</v>
      </c>
      <c r="D5" s="32" t="n">
        <f aca="false">C5</f>
        <v>385400</v>
      </c>
      <c r="E5" s="32" t="n">
        <f aca="false">D5</f>
        <v>385400</v>
      </c>
      <c r="F5" s="32" t="n">
        <f aca="false">E5</f>
        <v>385400</v>
      </c>
      <c r="G5" s="32" t="n">
        <f aca="false">F5</f>
        <v>385400</v>
      </c>
      <c r="H5" s="32" t="n">
        <f aca="false">G5</f>
        <v>385400</v>
      </c>
      <c r="I5" s="32" t="n">
        <f aca="false">H5</f>
        <v>385400</v>
      </c>
      <c r="J5" s="32" t="n">
        <f aca="false">I5</f>
        <v>385400</v>
      </c>
      <c r="K5" s="32" t="n">
        <f aca="false">J5</f>
        <v>385400</v>
      </c>
      <c r="L5" s="32" t="n">
        <f aca="false">K5</f>
        <v>385400</v>
      </c>
    </row>
    <row r="6" customFormat="false" ht="15" hidden="false" customHeight="true" outlineLevel="0" collapsed="false">
      <c r="A6" s="31" t="s">
        <v>300</v>
      </c>
      <c r="B6" s="32"/>
      <c r="C6" s="32" t="n">
        <f aca="false">C5*Assunzioni!$B$77</f>
        <v>15261.84</v>
      </c>
      <c r="D6" s="32" t="n">
        <f aca="false">D5*Assunzioni!$B$77</f>
        <v>15261.84</v>
      </c>
      <c r="E6" s="32" t="n">
        <f aca="false">E5*Assunzioni!$B$77</f>
        <v>15261.84</v>
      </c>
      <c r="F6" s="32" t="n">
        <f aca="false">F5*Assunzioni!$B$77</f>
        <v>15261.84</v>
      </c>
      <c r="G6" s="32" t="n">
        <f aca="false">G5*Assunzioni!$B$77</f>
        <v>15261.84</v>
      </c>
      <c r="H6" s="32" t="n">
        <f aca="false">H5*Assunzioni!$B$77</f>
        <v>15261.84</v>
      </c>
      <c r="I6" s="32" t="n">
        <f aca="false">I5*Assunzioni!$B$77</f>
        <v>15261.84</v>
      </c>
      <c r="J6" s="32" t="n">
        <f aca="false">J5*Assunzioni!$B$77</f>
        <v>15261.84</v>
      </c>
      <c r="K6" s="32" t="n">
        <f aca="false">K5*Assunzioni!$B$77</f>
        <v>15261.84</v>
      </c>
      <c r="L6" s="32" t="n">
        <f aca="false">L5*Assunzioni!$B$77</f>
        <v>15261.84</v>
      </c>
    </row>
    <row r="7" customFormat="false" ht="15" hidden="false" customHeight="true" outlineLevel="0" collapsed="false">
      <c r="A7" s="31" t="s">
        <v>301</v>
      </c>
      <c r="B7" s="32"/>
      <c r="C7" s="32" t="n">
        <f aca="false">-C6*Assunzioni!$B$45</f>
        <v>-3662.8416</v>
      </c>
      <c r="D7" s="32" t="n">
        <f aca="false">-D6*Assunzioni!$B$45</f>
        <v>-3662.8416</v>
      </c>
      <c r="E7" s="32" t="n">
        <f aca="false">-E6*Assunzioni!$B$45</f>
        <v>-3662.8416</v>
      </c>
      <c r="F7" s="32" t="n">
        <f aca="false">-F6*Assunzioni!$B$45</f>
        <v>-3662.8416</v>
      </c>
      <c r="G7" s="32" t="n">
        <f aca="false">-G6*Assunzioni!$B$45</f>
        <v>-3662.8416</v>
      </c>
      <c r="H7" s="32" t="n">
        <f aca="false">-H6*Assunzioni!$B$45</f>
        <v>-3662.8416</v>
      </c>
      <c r="I7" s="32" t="n">
        <f aca="false">-I6*Assunzioni!$B$45</f>
        <v>-3662.8416</v>
      </c>
      <c r="J7" s="32" t="n">
        <f aca="false">-J6*Assunzioni!$B$45</f>
        <v>-3662.8416</v>
      </c>
      <c r="K7" s="32" t="n">
        <f aca="false">-K6*Assunzioni!$B$45</f>
        <v>-3662.8416</v>
      </c>
      <c r="L7" s="32" t="n">
        <f aca="false">-L6*Assunzioni!$B$45</f>
        <v>-3662.8416</v>
      </c>
    </row>
    <row r="8" customFormat="false" ht="15" hidden="false" customHeight="true" outlineLevel="0" collapsed="false">
      <c r="A8" s="31" t="s">
        <v>302</v>
      </c>
      <c r="B8" s="32"/>
      <c r="C8" s="32" t="n">
        <f aca="false">-MIN(C5*Assunzioni!$B$81,14000)</f>
        <v>-770.8</v>
      </c>
      <c r="D8" s="32" t="n">
        <f aca="false">-MIN(D5*Assunzioni!$B$81,14000)</f>
        <v>-770.8</v>
      </c>
      <c r="E8" s="32" t="n">
        <f aca="false">-MIN(E5*Assunzioni!$B$81,14000)</f>
        <v>-770.8</v>
      </c>
      <c r="F8" s="32" t="n">
        <f aca="false">-MIN(F5*Assunzioni!$B$81,14000)</f>
        <v>-770.8</v>
      </c>
      <c r="G8" s="32" t="n">
        <f aca="false">-MIN(G5*Assunzioni!$B$81,14000)</f>
        <v>-770.8</v>
      </c>
      <c r="H8" s="32" t="n">
        <f aca="false">-MIN(H5*Assunzioni!$B$81,14000)</f>
        <v>-770.8</v>
      </c>
      <c r="I8" s="32" t="n">
        <f aca="false">-MIN(I5*Assunzioni!$B$81,14000)</f>
        <v>-770.8</v>
      </c>
      <c r="J8" s="32" t="n">
        <f aca="false">-MIN(J5*Assunzioni!$B$81,14000)</f>
        <v>-770.8</v>
      </c>
      <c r="K8" s="32" t="n">
        <f aca="false">-MIN(K5*Assunzioni!$B$81,14000)</f>
        <v>-770.8</v>
      </c>
      <c r="L8" s="32" t="n">
        <f aca="false">-MIN(L5*Assunzioni!$B$81,14000)</f>
        <v>-770.8</v>
      </c>
    </row>
    <row r="9" customFormat="false" ht="15" hidden="false" customHeight="true" outlineLevel="0" collapsed="false">
      <c r="A9" s="49" t="s">
        <v>303</v>
      </c>
      <c r="B9" s="50"/>
      <c r="C9" s="50" t="n">
        <f aca="false">C6+C7+C8</f>
        <v>10828.1984</v>
      </c>
      <c r="D9" s="50" t="n">
        <f aca="false">D6+D7+D8</f>
        <v>10828.1984</v>
      </c>
      <c r="E9" s="50" t="n">
        <f aca="false">E6+E7+E8</f>
        <v>10828.1984</v>
      </c>
      <c r="F9" s="50" t="n">
        <f aca="false">F6+F7+F8</f>
        <v>10828.1984</v>
      </c>
      <c r="G9" s="50" t="n">
        <f aca="false">G6+G7+G8</f>
        <v>10828.1984</v>
      </c>
      <c r="H9" s="50" t="n">
        <f aca="false">H6+H7+H8</f>
        <v>10828.1984</v>
      </c>
      <c r="I9" s="50" t="n">
        <f aca="false">I6+I7+I8</f>
        <v>10828.1984</v>
      </c>
      <c r="J9" s="50" t="n">
        <f aca="false">J6+J7+J8</f>
        <v>10828.1984</v>
      </c>
      <c r="K9" s="50" t="n">
        <f aca="false">K6+K7+K8</f>
        <v>10828.1984</v>
      </c>
      <c r="L9" s="50" t="n">
        <f aca="false">L6+L7+L8</f>
        <v>10828.1984</v>
      </c>
    </row>
    <row r="11" customFormat="false" ht="15" hidden="false" customHeight="true" outlineLevel="0" collapsed="false">
      <c r="A11" s="31" t="s">
        <v>254</v>
      </c>
      <c r="B11" s="32" t="n">
        <f aca="false">-Assunzioni!$B$23</f>
        <v>-385400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customFormat="false" ht="15" hidden="false" customHeight="true" outlineLevel="0" collapsed="false">
      <c r="A12" s="31" t="s">
        <v>304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 t="n">
        <f aca="false">Assunzioni!$B$23</f>
        <v>385400</v>
      </c>
    </row>
    <row r="13" customFormat="false" ht="15" hidden="false" customHeight="true" outlineLevel="0" collapsed="false">
      <c r="A13" s="41" t="s">
        <v>256</v>
      </c>
      <c r="B13" s="42" t="n">
        <f aca="false">B11</f>
        <v>-385400</v>
      </c>
      <c r="C13" s="42" t="n">
        <f aca="false">C9</f>
        <v>10828.1984</v>
      </c>
      <c r="D13" s="42" t="n">
        <f aca="false">D9</f>
        <v>10828.1984</v>
      </c>
      <c r="E13" s="42" t="n">
        <f aca="false">E9</f>
        <v>10828.1984</v>
      </c>
      <c r="F13" s="42" t="n">
        <f aca="false">F9</f>
        <v>10828.1984</v>
      </c>
      <c r="G13" s="42" t="n">
        <f aca="false">G9</f>
        <v>10828.1984</v>
      </c>
      <c r="H13" s="42" t="n">
        <f aca="false">H9</f>
        <v>10828.1984</v>
      </c>
      <c r="I13" s="42" t="n">
        <f aca="false">I9</f>
        <v>10828.1984</v>
      </c>
      <c r="J13" s="42" t="n">
        <f aca="false">J9</f>
        <v>10828.1984</v>
      </c>
      <c r="K13" s="42" t="n">
        <f aca="false">K9</f>
        <v>10828.1984</v>
      </c>
      <c r="L13" s="42" t="n">
        <f aca="false">L9+L12</f>
        <v>396228.1984</v>
      </c>
    </row>
    <row r="14" customFormat="false" ht="15" hidden="false" customHeight="true" outlineLevel="0" collapsed="false">
      <c r="A14" s="31" t="s">
        <v>257</v>
      </c>
      <c r="B14" s="32" t="n">
        <f aca="false">B13</f>
        <v>-385400</v>
      </c>
      <c r="C14" s="32" t="n">
        <f aca="false">B14+C13</f>
        <v>-374571.8016</v>
      </c>
      <c r="D14" s="32" t="n">
        <f aca="false">C14+D13</f>
        <v>-363743.6032</v>
      </c>
      <c r="E14" s="32" t="n">
        <f aca="false">D14+E13</f>
        <v>-352915.4048</v>
      </c>
      <c r="F14" s="32" t="n">
        <f aca="false">E14+F13</f>
        <v>-342087.2064</v>
      </c>
      <c r="G14" s="32" t="n">
        <f aca="false">F14+G13</f>
        <v>-331259.008</v>
      </c>
      <c r="H14" s="32" t="n">
        <f aca="false">G14+H13</f>
        <v>-320430.8096</v>
      </c>
      <c r="I14" s="32" t="n">
        <f aca="false">H14+I13</f>
        <v>-309602.6112</v>
      </c>
      <c r="J14" s="32" t="n">
        <f aca="false">I14+J13</f>
        <v>-298774.4128</v>
      </c>
      <c r="K14" s="32" t="n">
        <f aca="false">J14+K13</f>
        <v>-287946.2144</v>
      </c>
      <c r="L14" s="32" t="n">
        <f aca="false">K14+L13</f>
        <v>108281.984</v>
      </c>
    </row>
    <row r="15" customFormat="false" ht="15" hidden="false" customHeight="true" outlineLevel="0" collapsed="false">
      <c r="A15" s="31" t="s">
        <v>305</v>
      </c>
      <c r="B15" s="32" t="n">
        <f aca="false">0</f>
        <v>0</v>
      </c>
      <c r="C15" s="32" t="n">
        <f aca="false">B15*(1+Assunzioni!$B$85)+C9</f>
        <v>10828.1984</v>
      </c>
      <c r="D15" s="32" t="n">
        <f aca="false">C15*(1+Assunzioni!$B$85)+D9</f>
        <v>21927.10176</v>
      </c>
      <c r="E15" s="32" t="n">
        <f aca="false">D15*(1+Assunzioni!$B$85)+E9</f>
        <v>33303.477704</v>
      </c>
      <c r="F15" s="32" t="n">
        <f aca="false">E15*(1+Assunzioni!$B$85)+F9</f>
        <v>44964.2630466</v>
      </c>
      <c r="G15" s="32" t="n">
        <f aca="false">F15*(1+Assunzioni!$B$85)+G9</f>
        <v>56916.568022765</v>
      </c>
      <c r="H15" s="32" t="n">
        <f aca="false">G15*(1+Assunzioni!$B$85)+H9</f>
        <v>69167.6806233341</v>
      </c>
      <c r="I15" s="32" t="n">
        <f aca="false">H15*(1+Assunzioni!$B$85)+I9</f>
        <v>81725.0710389175</v>
      </c>
      <c r="J15" s="32" t="n">
        <f aca="false">I15*(1+Assunzioni!$B$85)+J9</f>
        <v>94596.3962148904</v>
      </c>
      <c r="K15" s="32" t="n">
        <f aca="false">J15*(1+Assunzioni!$B$85)+K9</f>
        <v>107789.504520263</v>
      </c>
      <c r="L15" s="32" t="n">
        <f aca="false">K15*(1+Assunzioni!$B$85)+L9</f>
        <v>121312.440533269</v>
      </c>
    </row>
    <row r="16" customFormat="false" ht="15" hidden="false" customHeight="true" outlineLevel="0" collapsed="false">
      <c r="A16" s="49" t="s">
        <v>259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 t="n">
        <f aca="false">L15+L12</f>
        <v>506712.440533269</v>
      </c>
    </row>
    <row r="19" customFormat="false" ht="15" hidden="false" customHeight="true" outlineLevel="0" collapsed="false">
      <c r="A19" s="18" t="s">
        <v>260</v>
      </c>
      <c r="B19" s="19"/>
      <c r="C19" s="19"/>
      <c r="D19" s="19"/>
    </row>
    <row r="20" customFormat="false" ht="15" hidden="false" customHeight="true" outlineLevel="0" collapsed="false">
      <c r="A20" s="4" t="s">
        <v>261</v>
      </c>
      <c r="B20" s="29" t="n">
        <f aca="false">IFERROR(IRR(B13:L13),"n.d.")</f>
        <v>0.028095999999972</v>
      </c>
    </row>
    <row r="21" customFormat="false" ht="15" hidden="false" customHeight="true" outlineLevel="0" collapsed="false">
      <c r="A21" s="4" t="s">
        <v>262</v>
      </c>
      <c r="B21" s="51" t="n">
        <f aca="false">(SUM(C9:L9)+L12)/-B11</f>
        <v>1.28096</v>
      </c>
    </row>
    <row r="22" customFormat="false" ht="15" hidden="false" customHeight="true" outlineLevel="0" collapsed="false">
      <c r="A22" s="4" t="s">
        <v>14</v>
      </c>
      <c r="B22" s="28" t="n">
        <f aca="false">L16</f>
        <v>506712.440533269</v>
      </c>
    </row>
    <row r="23" customFormat="false" ht="15" hidden="false" customHeight="true" outlineLevel="0" collapsed="false">
      <c r="A23" s="4" t="s">
        <v>263</v>
      </c>
      <c r="B23" s="29" t="n">
        <f aca="false">IFERROR((L16/-B11)^(1/10)-1,"n.d.")</f>
        <v>0.0277440843199379</v>
      </c>
    </row>
    <row r="24" customFormat="false" ht="15" hidden="false" customHeight="true" outlineLevel="0" collapsed="false">
      <c r="A24" s="4" t="s">
        <v>16</v>
      </c>
      <c r="B24" s="28" t="n">
        <f aca="false">NPV(Assunzioni!$B$86,C13:L13)+B13</f>
        <v>-134227.137024275</v>
      </c>
    </row>
    <row r="25" customFormat="false" ht="15" hidden="false" customHeight="true" outlineLevel="0" collapsed="false">
      <c r="A25" s="4" t="s">
        <v>306</v>
      </c>
      <c r="B25" s="29" t="n">
        <f aca="false">C9/-B11</f>
        <v>0.028096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13" min="2" style="1" width="12.5"/>
  </cols>
  <sheetData>
    <row r="1" customFormat="false" ht="18" hidden="false" customHeight="true" outlineLevel="0" collapsed="false">
      <c r="A1" s="2" t="s">
        <v>307</v>
      </c>
    </row>
    <row r="2" customFormat="false" ht="15" hidden="false" customHeight="true" outlineLevel="0" collapsed="false">
      <c r="A2" s="3" t="s">
        <v>308</v>
      </c>
    </row>
    <row r="4" customFormat="false" ht="15" hidden="false" customHeight="true" outlineLevel="0" collapsed="false">
      <c r="A4" s="18" t="s">
        <v>229</v>
      </c>
      <c r="B4" s="40" t="n">
        <v>0</v>
      </c>
      <c r="C4" s="40" t="n">
        <v>1</v>
      </c>
      <c r="D4" s="40" t="n">
        <v>2</v>
      </c>
      <c r="E4" s="40" t="n">
        <v>3</v>
      </c>
      <c r="F4" s="40" t="n">
        <v>4</v>
      </c>
      <c r="G4" s="40" t="n">
        <v>5</v>
      </c>
      <c r="H4" s="40" t="n">
        <v>6</v>
      </c>
      <c r="I4" s="40" t="n">
        <v>7</v>
      </c>
      <c r="J4" s="40" t="n">
        <v>8</v>
      </c>
      <c r="K4" s="40" t="n">
        <v>9</v>
      </c>
      <c r="L4" s="40" t="n">
        <v>10</v>
      </c>
    </row>
    <row r="5" customFormat="false" ht="15" hidden="false" customHeight="true" outlineLevel="0" collapsed="false">
      <c r="A5" s="31" t="s">
        <v>309</v>
      </c>
      <c r="B5" s="32" t="n">
        <f aca="false">Assunzioni!$B$23</f>
        <v>385400</v>
      </c>
      <c r="C5" s="32" t="n">
        <f aca="false">B5*(1+Assunzioni!$B$80)-MIN(B5*Assunzioni!$B$81,14000)</f>
        <v>398465.06</v>
      </c>
      <c r="D5" s="32" t="n">
        <f aca="false">C5*(1+Assunzioni!$B$80)-MIN(C5*Assunzioni!$B$81,14000)</f>
        <v>411973.025534</v>
      </c>
      <c r="E5" s="32" t="n">
        <f aca="false">D5*(1+Assunzioni!$B$80)-MIN(D5*Assunzioni!$B$81,14000)</f>
        <v>425938.911099603</v>
      </c>
      <c r="F5" s="32" t="n">
        <f aca="false">E5*(1+Assunzioni!$B$80)-MIN(E5*Assunzioni!$B$81,14000)</f>
        <v>440378.240185879</v>
      </c>
      <c r="G5" s="32" t="n">
        <f aca="false">F5*(1+Assunzioni!$B$80)-MIN(F5*Assunzioni!$B$81,14000)</f>
        <v>455307.062528181</v>
      </c>
      <c r="H5" s="32" t="n">
        <f aca="false">G5*(1+Assunzioni!$B$80)-MIN(G5*Assunzioni!$B$81,14000)</f>
        <v>470741.971947886</v>
      </c>
      <c r="I5" s="32" t="n">
        <f aca="false">H5*(1+Assunzioni!$B$80)-MIN(H5*Assunzioni!$B$81,14000)</f>
        <v>486700.124796919</v>
      </c>
      <c r="J5" s="32" t="n">
        <f aca="false">I5*(1+Assunzioni!$B$80)-MIN(I5*Assunzioni!$B$81,14000)</f>
        <v>503199.259027535</v>
      </c>
      <c r="K5" s="32" t="n">
        <f aca="false">J5*(1+Assunzioni!$B$80)-MIN(J5*Assunzioni!$B$81,14000)</f>
        <v>520257.713908568</v>
      </c>
      <c r="L5" s="32" t="n">
        <f aca="false">K5*(1+Assunzioni!$B$80)-MIN(K5*Assunzioni!$B$81,14000)</f>
        <v>537894.450410069</v>
      </c>
    </row>
    <row r="6" customFormat="false" ht="15" hidden="false" customHeight="true" outlineLevel="0" collapsed="false">
      <c r="A6" s="3" t="s">
        <v>310</v>
      </c>
      <c r="B6" s="56"/>
      <c r="C6" s="56" t="n">
        <f aca="false">B5*Assunzioni!$B$80</f>
        <v>13835.86</v>
      </c>
      <c r="D6" s="56" t="n">
        <f aca="false">C5*Assunzioni!$B$80</f>
        <v>14304.895654</v>
      </c>
      <c r="E6" s="56" t="n">
        <f aca="false">D5*Assunzioni!$B$80</f>
        <v>14789.8316166706</v>
      </c>
      <c r="F6" s="56" t="n">
        <f aca="false">E5*Assunzioni!$B$80</f>
        <v>15291.2069084757</v>
      </c>
      <c r="G6" s="56" t="n">
        <f aca="false">F5*Assunzioni!$B$80</f>
        <v>15809.5788226731</v>
      </c>
      <c r="H6" s="56" t="n">
        <f aca="false">G5*Assunzioni!$B$80</f>
        <v>16345.5235447617</v>
      </c>
      <c r="I6" s="56" t="n">
        <f aca="false">H5*Assunzioni!$B$80</f>
        <v>16899.6367929291</v>
      </c>
      <c r="J6" s="56" t="n">
        <f aca="false">I5*Assunzioni!$B$80</f>
        <v>17472.5344802094</v>
      </c>
      <c r="K6" s="56" t="n">
        <f aca="false">J5*Assunzioni!$B$80</f>
        <v>18064.8533990885</v>
      </c>
      <c r="L6" s="56" t="n">
        <f aca="false">K5*Assunzioni!$B$80</f>
        <v>18677.2519293176</v>
      </c>
    </row>
    <row r="7" customFormat="false" ht="15" hidden="false" customHeight="true" outlineLevel="0" collapsed="false">
      <c r="A7" s="3" t="s">
        <v>311</v>
      </c>
      <c r="B7" s="56"/>
      <c r="C7" s="56" t="n">
        <f aca="false">-MIN(B5*Assunzioni!$B$81,14000)</f>
        <v>-770.8</v>
      </c>
      <c r="D7" s="56" t="n">
        <f aca="false">-MIN(C5*Assunzioni!$B$81,14000)</f>
        <v>-796.93012</v>
      </c>
      <c r="E7" s="56" t="n">
        <f aca="false">-MIN(D5*Assunzioni!$B$81,14000)</f>
        <v>-823.946051068</v>
      </c>
      <c r="F7" s="56" t="n">
        <f aca="false">-MIN(E5*Assunzioni!$B$81,14000)</f>
        <v>-851.877822199205</v>
      </c>
      <c r="G7" s="56" t="n">
        <f aca="false">-MIN(F5*Assunzioni!$B$81,14000)</f>
        <v>-880.756480371759</v>
      </c>
      <c r="H7" s="56" t="n">
        <f aca="false">-MIN(G5*Assunzioni!$B$81,14000)</f>
        <v>-910.614125056361</v>
      </c>
      <c r="I7" s="56" t="n">
        <f aca="false">-MIN(H5*Assunzioni!$B$81,14000)</f>
        <v>-941.483943895772</v>
      </c>
      <c r="J7" s="56" t="n">
        <f aca="false">-MIN(I5*Assunzioni!$B$81,14000)</f>
        <v>-973.400249593839</v>
      </c>
      <c r="K7" s="56" t="n">
        <f aca="false">-MIN(J5*Assunzioni!$B$81,14000)</f>
        <v>-1006.39851805507</v>
      </c>
      <c r="L7" s="56" t="n">
        <f aca="false">-MIN(K5*Assunzioni!$B$81,14000)</f>
        <v>-1040.51542781714</v>
      </c>
    </row>
    <row r="9" customFormat="false" ht="15" hidden="false" customHeight="true" outlineLevel="0" collapsed="false">
      <c r="A9" s="31" t="s">
        <v>312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 t="n">
        <f aca="false">L5-Assunzioni!$B$23</f>
        <v>152494.450410069</v>
      </c>
    </row>
    <row r="10" customFormat="false" ht="15" hidden="false" customHeight="true" outlineLevel="0" collapsed="false">
      <c r="A10" s="31" t="s">
        <v>313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 t="n">
        <f aca="false">-MAX(0,L9)*Assunzioni!$B$45*Assunzioni!$B$82</f>
        <v>-36598.6680984165</v>
      </c>
    </row>
    <row r="11" customFormat="false" ht="15" hidden="false" customHeight="true" outlineLevel="0" collapsed="false">
      <c r="A11" s="31" t="s">
        <v>255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 t="n">
        <f aca="false">L5+L10</f>
        <v>501295.782311652</v>
      </c>
    </row>
    <row r="13" customFormat="false" ht="15" hidden="false" customHeight="true" outlineLevel="0" collapsed="false">
      <c r="A13" s="31" t="s">
        <v>254</v>
      </c>
      <c r="B13" s="32" t="n">
        <f aca="false">-Assunzioni!$B$23</f>
        <v>-385400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customFormat="false" ht="15" hidden="false" customHeight="true" outlineLevel="0" collapsed="false">
      <c r="A14" s="41" t="s">
        <v>256</v>
      </c>
      <c r="B14" s="42" t="n">
        <f aca="false">B13</f>
        <v>-385400</v>
      </c>
      <c r="C14" s="42" t="n">
        <f aca="false">0</f>
        <v>0</v>
      </c>
      <c r="D14" s="42" t="n">
        <f aca="false">0</f>
        <v>0</v>
      </c>
      <c r="E14" s="42" t="n">
        <f aca="false">0</f>
        <v>0</v>
      </c>
      <c r="F14" s="42" t="n">
        <f aca="false">0</f>
        <v>0</v>
      </c>
      <c r="G14" s="42" t="n">
        <f aca="false">0</f>
        <v>0</v>
      </c>
      <c r="H14" s="42" t="n">
        <f aca="false">0</f>
        <v>0</v>
      </c>
      <c r="I14" s="42" t="n">
        <f aca="false">0</f>
        <v>0</v>
      </c>
      <c r="J14" s="42" t="n">
        <f aca="false">0</f>
        <v>0</v>
      </c>
      <c r="K14" s="42" t="n">
        <f aca="false">0</f>
        <v>0</v>
      </c>
      <c r="L14" s="42" t="n">
        <f aca="false">L11</f>
        <v>501295.782311652</v>
      </c>
    </row>
    <row r="15" customFormat="false" ht="15" hidden="false" customHeight="true" outlineLevel="0" collapsed="false">
      <c r="A15" s="49" t="s">
        <v>259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 t="n">
        <f aca="false">L11</f>
        <v>501295.782311652</v>
      </c>
    </row>
    <row r="18" customFormat="false" ht="15" hidden="false" customHeight="true" outlineLevel="0" collapsed="false">
      <c r="A18" s="18" t="s">
        <v>260</v>
      </c>
      <c r="B18" s="19"/>
      <c r="C18" s="19"/>
      <c r="D18" s="19"/>
    </row>
    <row r="19" customFormat="false" ht="15" hidden="false" customHeight="true" outlineLevel="0" collapsed="false">
      <c r="A19" s="4" t="s">
        <v>261</v>
      </c>
      <c r="B19" s="29" t="n">
        <f aca="false">IFERROR(IRR(B14:L14),"n.d.")</f>
        <v>0.0266401247584831</v>
      </c>
    </row>
    <row r="20" customFormat="false" ht="15" hidden="false" customHeight="true" outlineLevel="0" collapsed="false">
      <c r="A20" s="4" t="s">
        <v>262</v>
      </c>
      <c r="B20" s="51" t="n">
        <f aca="false">L11/-B13</f>
        <v>1.30071557423885</v>
      </c>
    </row>
    <row r="21" customFormat="false" ht="15" hidden="false" customHeight="true" outlineLevel="0" collapsed="false">
      <c r="A21" s="4" t="s">
        <v>14</v>
      </c>
      <c r="B21" s="28" t="n">
        <f aca="false">L15</f>
        <v>501295.782311652</v>
      </c>
    </row>
    <row r="22" customFormat="false" ht="15" hidden="false" customHeight="true" outlineLevel="0" collapsed="false">
      <c r="A22" s="4" t="s">
        <v>263</v>
      </c>
      <c r="B22" s="29" t="n">
        <f aca="false">IFERROR((L15/-B13)^(1/10)-1,"n.d.")</f>
        <v>0.0266401247584831</v>
      </c>
    </row>
    <row r="23" customFormat="false" ht="15" hidden="false" customHeight="true" outlineLevel="0" collapsed="false">
      <c r="A23" s="4" t="s">
        <v>16</v>
      </c>
      <c r="B23" s="28" t="n">
        <f aca="false">NPV(Assunzioni!$B$86,C14:L14)+B14</f>
        <v>-153203.058028925</v>
      </c>
    </row>
    <row r="24" customFormat="false" ht="15" hidden="false" customHeight="true" outlineLevel="0" collapsed="false">
      <c r="A24" s="4" t="s">
        <v>314</v>
      </c>
      <c r="B24" s="28" t="n">
        <f aca="false">L5-Assunzioni!$B$23*(1+(Assunzioni!$B$80-Assunzioni!$B$81)*(1-Assunzioni!$B$45))^10</f>
        <v>40860.2865233477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8" min="2" style="1" width="15"/>
  </cols>
  <sheetData>
    <row r="1" customFormat="false" ht="19.5" hidden="false" customHeight="true" outlineLevel="0" collapsed="false">
      <c r="A1" s="52" t="s">
        <v>315</v>
      </c>
    </row>
    <row r="2" customFormat="false" ht="15" hidden="false" customHeight="true" outlineLevel="0" collapsed="false">
      <c r="A2" s="3" t="s">
        <v>316</v>
      </c>
    </row>
    <row r="4" customFormat="false" ht="15" hidden="false" customHeight="true" outlineLevel="0" collapsed="false">
      <c r="A4" s="18" t="s">
        <v>317</v>
      </c>
      <c r="B4" s="19"/>
      <c r="C4" s="19"/>
      <c r="D4" s="19"/>
    </row>
    <row r="5" customFormat="false" ht="15" hidden="false" customHeight="true" outlineLevel="0" collapsed="false">
      <c r="A5" s="31" t="s">
        <v>318</v>
      </c>
      <c r="B5" s="37" t="n">
        <v>0.01</v>
      </c>
      <c r="C5" s="3" t="s">
        <v>319</v>
      </c>
    </row>
    <row r="6" customFormat="false" ht="15" hidden="false" customHeight="true" outlineLevel="0" collapsed="false">
      <c r="A6" s="31" t="s">
        <v>320</v>
      </c>
      <c r="B6" s="37" t="n">
        <v>0.0075</v>
      </c>
      <c r="C6" s="3" t="s">
        <v>321</v>
      </c>
    </row>
    <row r="7" customFormat="false" ht="15" hidden="false" customHeight="true" outlineLevel="0" collapsed="false">
      <c r="A7" s="31" t="s">
        <v>322</v>
      </c>
      <c r="B7" s="37" t="n">
        <v>0.005</v>
      </c>
      <c r="C7" s="3" t="s">
        <v>323</v>
      </c>
    </row>
    <row r="8" customFormat="false" ht="15" hidden="false" customHeight="true" outlineLevel="0" collapsed="false">
      <c r="A8" s="31" t="s">
        <v>324</v>
      </c>
      <c r="B8" s="37" t="n">
        <v>0.0025</v>
      </c>
      <c r="C8" s="3" t="s">
        <v>325</v>
      </c>
    </row>
    <row r="9" customFormat="false" ht="15" hidden="false" customHeight="true" outlineLevel="0" collapsed="false">
      <c r="A9" s="31" t="s">
        <v>326</v>
      </c>
      <c r="B9" s="37" t="n">
        <v>0.005</v>
      </c>
      <c r="C9" s="3" t="s">
        <v>327</v>
      </c>
    </row>
    <row r="10" customFormat="false" ht="15" hidden="false" customHeight="true" outlineLevel="0" collapsed="false">
      <c r="A10" s="4" t="s">
        <v>328</v>
      </c>
      <c r="B10" s="57" t="n">
        <f aca="false">SUM(B5:B9)</f>
        <v>0.03</v>
      </c>
    </row>
    <row r="11" customFormat="false" ht="15" hidden="false" customHeight="true" outlineLevel="0" collapsed="false">
      <c r="A11" s="4" t="s">
        <v>329</v>
      </c>
      <c r="B11" s="58" t="n">
        <f aca="false">C_BTP!B23</f>
        <v>0.0277440843199379</v>
      </c>
    </row>
    <row r="12" customFormat="false" ht="15" hidden="false" customHeight="true" outlineLevel="0" collapsed="false">
      <c r="A12" s="4" t="s">
        <v>330</v>
      </c>
      <c r="B12" s="57" t="n">
        <f aca="false">B11+B10</f>
        <v>0.0577440843199379</v>
      </c>
    </row>
    <row r="14" customFormat="false" ht="15" hidden="false" customHeight="true" outlineLevel="0" collapsed="false">
      <c r="A14" s="18" t="s">
        <v>331</v>
      </c>
      <c r="B14" s="19"/>
      <c r="C14" s="19"/>
      <c r="D14" s="19"/>
      <c r="E14" s="19"/>
    </row>
    <row r="15" customFormat="false" ht="15" hidden="false" customHeight="true" outlineLevel="0" collapsed="false">
      <c r="A15" s="3" t="s">
        <v>332</v>
      </c>
    </row>
    <row r="16" customFormat="false" ht="15" hidden="false" customHeight="true" outlineLevel="0" collapsed="false">
      <c r="A16" s="59"/>
      <c r="B16" s="60" t="s">
        <v>333</v>
      </c>
      <c r="C16" s="60" t="s">
        <v>334</v>
      </c>
    </row>
    <row r="17" customFormat="false" ht="15" hidden="false" customHeight="true" outlineLevel="0" collapsed="false">
      <c r="A17" s="4" t="s">
        <v>335</v>
      </c>
      <c r="B17" s="61" t="n">
        <f aca="false">IFERROR(INDEX(A$28:A$66,MATCH($B$11,B$28:B$66,-1))+(INDEX(A$28:A$66,MATCH($B$11,B$28:B$66,-1)+1)-INDEX(A$28:A$66,MATCH($B$11,B$28:B$66,-1)))*(INDEX(B$28:B$66,MATCH($B$11,B$28:B$66,-1))-$B$11)/(INDEX(B$28:B$66,MATCH($B$11,B$28:B$66,-1))-INDEX(B$28:B$66,MATCH($B$11,B$28:B$66,-1)+1)),"fuori griglia")</f>
        <v>284388.656918306</v>
      </c>
      <c r="C17" s="62" t="n">
        <f aca="false">IFERROR(INDEX(A$28:A$66,MATCH($B$12,B$28:B$66,-1))+(INDEX(A$28:A$66,MATCH($B$12,B$28:B$66,-1)+1)-INDEX(A$28:A$66,MATCH($B$12,B$28:B$66,-1)))*(INDEX(B$28:B$66,MATCH($B$12,B$28:B$66,-1))-$B$12)/(INDEX(B$28:B$66,MATCH($B$12,B$28:B$66,-1))-INDEX(B$28:B$66,MATCH($B$12,B$28:B$66,-1)+1)),"fuori griglia")</f>
        <v>198144.602572663</v>
      </c>
    </row>
    <row r="18" customFormat="false" ht="15" hidden="false" customHeight="true" outlineLevel="0" collapsed="false">
      <c r="A18" s="4" t="s">
        <v>336</v>
      </c>
      <c r="B18" s="61" t="n">
        <f aca="false">IFERROR(INDEX(A$70:A$101,MATCH($B$11,B$70:B$101,1))+(INDEX(A$70:A$101,MATCH($B$11,B$70:B$101,1)+1)-INDEX(A$70:A$101,MATCH($B$11,B$70:B$101,1)))*($B$11-INDEX(B$70:B$101,MATCH($B$11,B$70:B$101,1)))/(INDEX(B$70:B$101,MATCH($B$11,B$70:B$101,1)+1)-INDEX(B$70:B$101,MATCH($B$11,B$70:B$101,1))),"fuori griglia")</f>
        <v>52895.0784082301</v>
      </c>
      <c r="C18" s="62" t="n">
        <f aca="false">IFERROR(INDEX(A$70:A$101,MATCH($B$12,B$70:B$101,1))+(INDEX(A$70:A$101,MATCH($B$12,B$70:B$101,1)+1)-INDEX(A$70:A$101,MATCH($B$12,B$70:B$101,1)))*($B$12-INDEX(B$70:B$101,MATCH($B$12,B$70:B$101,1)))/(INDEX(B$70:B$101,MATCH($B$12,B$70:B$101,1)+1)-INDEX(B$70:B$101,MATCH($B$12,B$70:B$101,1))),"fuori griglia")</f>
        <v>74931.2400297314</v>
      </c>
    </row>
    <row r="19" customFormat="false" ht="15" hidden="false" customHeight="true" outlineLevel="0" collapsed="false">
      <c r="A19" s="4" t="s">
        <v>337</v>
      </c>
      <c r="B19" s="61" t="n">
        <f aca="false">IFERROR(INDEX(A$28:A$66,MATCH($B$11,C$28:C$66,-1))+(INDEX(A$28:A$66,MATCH($B$11,C$28:C$66,-1)+1)-INDEX(A$28:A$66,MATCH($B$11,C$28:C$66,-1)))*(INDEX(C$28:C$66,MATCH($B$11,C$28:C$66,-1))-$B$11)/(INDEX(C$28:C$66,MATCH($B$11,C$28:C$66,-1))-INDEX(C$28:C$66,MATCH($B$11,C$28:C$66,-1)+1)),"fuori griglia")</f>
        <v>513732.063939922</v>
      </c>
      <c r="C19" s="62" t="n">
        <f aca="false">IFERROR(INDEX(A$28:A$66,MATCH($B$12,C$28:C$66,-1))+(INDEX(A$28:A$66,MATCH($B$12,C$28:C$66,-1)+1)-INDEX(A$28:A$66,MATCH($B$12,C$28:C$66,-1)))*(INDEX(C$28:C$66,MATCH($B$12,C$28:C$66,-1))-$B$12)/(INDEX(C$28:C$66,MATCH($B$12,C$28:C$66,-1))-INDEX(C$28:C$66,MATCH($B$12,C$28:C$66,-1)+1)),"fuori griglia")</f>
        <v>360403.046613145</v>
      </c>
    </row>
    <row r="20" customFormat="false" ht="15" hidden="false" customHeight="true" outlineLevel="0" collapsed="false">
      <c r="A20" s="4" t="s">
        <v>338</v>
      </c>
      <c r="B20" s="61" t="n">
        <f aca="false">IFERROR(INDEX(A$70:A$101,MATCH($B$11,C$70:C$101,1))+(INDEX(A$70:A$101,MATCH($B$11,C$70:C$101,1)+1)-INDEX(A$70:A$101,MATCH($B$11,C$70:C$101,1)))*($B$11-INDEX(C$70:C$101,MATCH($B$11,C$70:C$101,1)))/(INDEX(C$70:C$101,MATCH($B$11,C$70:C$101,1)+1)-INDEX(C$70:C$101,MATCH($B$11,C$70:C$101,1))),"fuori griglia")</f>
        <v>23573.61973552</v>
      </c>
      <c r="C20" s="62" t="n">
        <f aca="false">IFERROR(INDEX(A$70:A$101,MATCH($B$12,C$70:C$101,1))+(INDEX(A$70:A$101,MATCH($B$12,C$70:C$101,1)+1)-INDEX(A$70:A$101,MATCH($B$12,C$70:C$101,1)))*($B$12-INDEX(C$70:C$101,MATCH($B$12,C$70:C$101,1)))/(INDEX(C$70:C$101,MATCH($B$12,C$70:C$101,1)+1)-INDEX(C$70:C$101,MATCH($B$12,C$70:C$101,1))),"fuori griglia")</f>
        <v>41930.2342890616</v>
      </c>
    </row>
    <row r="22" customFormat="false" ht="15" hidden="false" customHeight="true" outlineLevel="0" collapsed="false">
      <c r="A22" s="3" t="s">
        <v>339</v>
      </c>
    </row>
    <row r="23" customFormat="false" ht="15" hidden="false" customHeight="true" outlineLevel="0" collapsed="false">
      <c r="A23" s="3" t="s">
        <v>340</v>
      </c>
    </row>
    <row r="24" customFormat="false" ht="15" hidden="false" customHeight="true" outlineLevel="0" collapsed="false">
      <c r="A24" s="3" t="s">
        <v>341</v>
      </c>
    </row>
    <row r="26" customFormat="false" ht="15" hidden="false" customHeight="true" outlineLevel="0" collapsed="false">
      <c r="A26" s="18" t="s">
        <v>342</v>
      </c>
      <c r="B26" s="19"/>
      <c r="C26" s="19"/>
    </row>
    <row r="27" customFormat="false" ht="15" hidden="false" customHeight="true" outlineLevel="0" collapsed="false">
      <c r="A27" s="63" t="s">
        <v>343</v>
      </c>
      <c r="B27" s="63" t="s">
        <v>344</v>
      </c>
      <c r="C27" s="63" t="s">
        <v>345</v>
      </c>
    </row>
    <row r="28" customFormat="false" ht="15" hidden="false" customHeight="true" outlineLevel="0" collapsed="false">
      <c r="A28" s="64" t="n">
        <v>150000</v>
      </c>
      <c r="B28" s="65" t="n">
        <v>0.0821408876328591</v>
      </c>
      <c r="C28" s="65" t="n">
        <v>0.140305371851436</v>
      </c>
    </row>
    <row r="29" customFormat="false" ht="15" hidden="false" customHeight="true" outlineLevel="0" collapsed="false">
      <c r="A29" s="64" t="n">
        <v>160000</v>
      </c>
      <c r="B29" s="65" t="n">
        <v>0.0763934842921832</v>
      </c>
      <c r="C29" s="65" t="n">
        <v>0.133918776162399</v>
      </c>
    </row>
    <row r="30" customFormat="false" ht="15" hidden="false" customHeight="true" outlineLevel="0" collapsed="false">
      <c r="A30" s="64" t="n">
        <v>170000</v>
      </c>
      <c r="B30" s="65" t="n">
        <v>0.0710398257935958</v>
      </c>
      <c r="C30" s="65" t="n">
        <v>0.12795418494524</v>
      </c>
    </row>
    <row r="31" customFormat="false" ht="15" hidden="false" customHeight="true" outlineLevel="0" collapsed="false">
      <c r="A31" s="64" t="n">
        <v>180000</v>
      </c>
      <c r="B31" s="65" t="n">
        <v>0.0660348224287821</v>
      </c>
      <c r="C31" s="65" t="n">
        <v>0.122363643689625</v>
      </c>
    </row>
    <row r="32" customFormat="false" ht="15" hidden="false" customHeight="true" outlineLevel="0" collapsed="false">
      <c r="A32" s="64" t="n">
        <v>190000</v>
      </c>
      <c r="B32" s="65" t="n">
        <v>0.0613405426964939</v>
      </c>
      <c r="C32" s="65" t="n">
        <v>0.11710679679318</v>
      </c>
    </row>
    <row r="33" customFormat="false" ht="15" hidden="false" customHeight="true" outlineLevel="0" collapsed="false">
      <c r="A33" s="64" t="n">
        <v>200000</v>
      </c>
      <c r="B33" s="65" t="n">
        <v>0.0569247859490409</v>
      </c>
      <c r="C33" s="65" t="n">
        <v>0.112149373295567</v>
      </c>
    </row>
    <row r="34" customFormat="false" ht="15" hidden="false" customHeight="true" outlineLevel="0" collapsed="false">
      <c r="A34" s="64" t="n">
        <v>210000</v>
      </c>
      <c r="B34" s="65" t="n">
        <v>0.0527599925333668</v>
      </c>
      <c r="C34" s="65" t="n">
        <v>0.10746203054447</v>
      </c>
    </row>
    <row r="35" customFormat="false" ht="15" hidden="false" customHeight="true" outlineLevel="0" collapsed="false">
      <c r="A35" s="64" t="n">
        <v>220000</v>
      </c>
      <c r="B35" s="65" t="n">
        <v>0.0488224002144946</v>
      </c>
      <c r="C35" s="65" t="n">
        <v>0.103019459076726</v>
      </c>
    </row>
    <row r="36" customFormat="false" ht="15" hidden="false" customHeight="true" outlineLevel="0" collapsed="false">
      <c r="A36" s="64" t="n">
        <v>230000</v>
      </c>
      <c r="B36" s="65" t="n">
        <v>0.0450913831450097</v>
      </c>
      <c r="C36" s="65" t="n">
        <v>0.098799681127937</v>
      </c>
    </row>
    <row r="37" customFormat="false" ht="15" hidden="false" customHeight="true" outlineLevel="0" collapsed="false">
      <c r="A37" s="64" t="n">
        <v>240000</v>
      </c>
      <c r="B37" s="65" t="n">
        <v>0.0415489280616301</v>
      </c>
      <c r="C37" s="65" t="n">
        <v>0.0947834947110147</v>
      </c>
    </row>
    <row r="38" customFormat="false" ht="15" hidden="false" customHeight="true" outlineLevel="0" collapsed="false">
      <c r="A38" s="64" t="n">
        <v>250000</v>
      </c>
      <c r="B38" s="65" t="n">
        <v>0.0381792149729661</v>
      </c>
      <c r="C38" s="65" t="n">
        <v>0.0909540285460737</v>
      </c>
    </row>
    <row r="39" customFormat="false" ht="15" hidden="false" customHeight="true" outlineLevel="0" collapsed="false">
      <c r="A39" s="64" t="n">
        <v>260000</v>
      </c>
      <c r="B39" s="65" t="n">
        <v>0.034968278349683</v>
      </c>
      <c r="C39" s="65" t="n">
        <v>0.0872963823991764</v>
      </c>
    </row>
    <row r="40" customFormat="false" ht="15" hidden="false" customHeight="true" outlineLevel="0" collapsed="false">
      <c r="A40" s="64" t="n">
        <v>270000</v>
      </c>
      <c r="B40" s="65" t="n">
        <v>0.0319037310056161</v>
      </c>
      <c r="C40" s="65" t="n">
        <v>0.0837973339379856</v>
      </c>
    </row>
    <row r="41" customFormat="false" ht="15" hidden="false" customHeight="true" outlineLevel="0" collapsed="false">
      <c r="A41" s="64" t="n">
        <v>280000</v>
      </c>
      <c r="B41" s="65" t="n">
        <v>0.028974537284447</v>
      </c>
      <c r="C41" s="65" t="n">
        <v>0.0804450979060827</v>
      </c>
    </row>
    <row r="42" customFormat="false" ht="15" hidden="false" customHeight="true" outlineLevel="0" collapsed="false">
      <c r="A42" s="64" t="n">
        <v>290000</v>
      </c>
      <c r="B42" s="65" t="n">
        <v>0.0261708253802953</v>
      </c>
      <c r="C42" s="65" t="n">
        <v>0.0772291268259551</v>
      </c>
    </row>
    <row r="43" customFormat="false" ht="15" hidden="false" customHeight="true" outlineLevel="0" collapsed="false">
      <c r="A43" s="64" t="n">
        <v>300000</v>
      </c>
      <c r="B43" s="65" t="n">
        <v>0.0234837309828491</v>
      </c>
      <c r="C43" s="65" t="n">
        <v>0.0741399449460227</v>
      </c>
    </row>
    <row r="44" customFormat="false" ht="15" hidden="false" customHeight="true" outlineLevel="0" collapsed="false">
      <c r="A44" s="64" t="n">
        <v>310000</v>
      </c>
      <c r="B44" s="65" t="n">
        <v>0.0209052661938787</v>
      </c>
      <c r="C44" s="65" t="n">
        <v>0.0711690090097816</v>
      </c>
    </row>
    <row r="45" customFormat="false" ht="15" hidden="false" customHeight="true" outlineLevel="0" collapsed="false">
      <c r="A45" s="64" t="n">
        <v>320000</v>
      </c>
      <c r="B45" s="65" t="n">
        <v>0.0184282089814807</v>
      </c>
      <c r="C45" s="65" t="n">
        <v>0.0683085908247134</v>
      </c>
    </row>
    <row r="46" customFormat="false" ht="15" hidden="false" customHeight="true" outlineLevel="0" collapsed="false">
      <c r="A46" s="64" t="n">
        <v>330000</v>
      </c>
      <c r="B46" s="65" t="n">
        <v>0.0160460094395374</v>
      </c>
      <c r="C46" s="65" t="n">
        <v>0.0655516776705587</v>
      </c>
    </row>
    <row r="47" customFormat="false" ht="15" hidden="false" customHeight="true" outlineLevel="0" collapsed="false">
      <c r="A47" s="64" t="n">
        <v>340000</v>
      </c>
      <c r="B47" s="65" t="n">
        <v>0.0137527098864647</v>
      </c>
      <c r="C47" s="65" t="n">
        <v>0.0628918873997451</v>
      </c>
    </row>
    <row r="48" customFormat="false" ht="15" hidden="false" customHeight="true" outlineLevel="0" collapsed="false">
      <c r="A48" s="64" t="n">
        <v>350000</v>
      </c>
      <c r="B48" s="65" t="n">
        <v>0.0115428764293493</v>
      </c>
      <c r="C48" s="65" t="n">
        <v>0.0603233957108116</v>
      </c>
    </row>
    <row r="49" customFormat="false" ht="15" hidden="false" customHeight="true" outlineLevel="0" collapsed="false">
      <c r="A49" s="64" t="n">
        <v>360000</v>
      </c>
      <c r="B49" s="65" t="n">
        <v>0.00941154008048284</v>
      </c>
      <c r="C49" s="65" t="n">
        <v>0.0578408735646541</v>
      </c>
    </row>
    <row r="50" customFormat="false" ht="15" hidden="false" customHeight="true" outlineLevel="0" collapsed="false">
      <c r="A50" s="64" t="n">
        <v>370000</v>
      </c>
      <c r="B50" s="65" t="n">
        <v>0.00735414587484184</v>
      </c>
      <c r="C50" s="65" t="n">
        <v>0.0554394330969914</v>
      </c>
    </row>
    <row r="51" customFormat="false" ht="15" hidden="false" customHeight="true" outlineLevel="0" collapsed="false">
      <c r="A51" s="64" t="n">
        <v>380000</v>
      </c>
      <c r="B51" s="65" t="n">
        <v>0.00536650872267908</v>
      </c>
      <c r="C51" s="65" t="n">
        <v>0.0531145806835007</v>
      </c>
    </row>
    <row r="52" customFormat="false" ht="15" hidden="false" customHeight="true" outlineLevel="0" collapsed="false">
      <c r="A52" s="64" t="n">
        <v>390000</v>
      </c>
      <c r="B52" s="65" t="n">
        <v>0.00344477495854312</v>
      </c>
      <c r="C52" s="65" t="n">
        <v>0.0508621760550954</v>
      </c>
    </row>
    <row r="53" customFormat="false" ht="15" hidden="false" customHeight="true" outlineLevel="0" collapsed="false">
      <c r="A53" s="64" t="n">
        <v>400000</v>
      </c>
      <c r="B53" s="65" t="n">
        <v>0.00158538872984382</v>
      </c>
      <c r="C53" s="65" t="n">
        <v>0.0486783965537276</v>
      </c>
    </row>
    <row r="54" customFormat="false" ht="15" hidden="false" customHeight="true" outlineLevel="0" collapsed="false">
      <c r="A54" s="64" t="n">
        <v>410000</v>
      </c>
      <c r="B54" s="65" t="n">
        <v>-0.000214937485543465</v>
      </c>
      <c r="C54" s="65" t="n">
        <v>0.0465597057744398</v>
      </c>
    </row>
    <row r="55" customFormat="false" ht="15" hidden="false" customHeight="true" outlineLevel="0" collapsed="false">
      <c r="A55" s="64" t="n">
        <v>420000</v>
      </c>
      <c r="B55" s="65" t="n">
        <v>-0.00195924882461818</v>
      </c>
      <c r="C55" s="65" t="n">
        <v>0.0445028259651605</v>
      </c>
    </row>
    <row r="56" customFormat="false" ht="15" hidden="false" customHeight="true" outlineLevel="0" collapsed="false">
      <c r="A56" s="64" t="n">
        <v>430000</v>
      </c>
      <c r="B56" s="65" t="n">
        <v>-0.00365037094303311</v>
      </c>
      <c r="C56" s="65" t="n">
        <v>0.0425047136581522</v>
      </c>
    </row>
    <row r="57" customFormat="false" ht="15" hidden="false" customHeight="true" outlineLevel="0" collapsed="false">
      <c r="A57" s="64" t="n">
        <v>440000</v>
      </c>
      <c r="B57" s="65" t="n">
        <v>-0.00529093029385819</v>
      </c>
      <c r="C57" s="65" t="n">
        <v>0.0405625380908115</v>
      </c>
    </row>
    <row r="58" customFormat="false" ht="15" hidden="false" customHeight="true" outlineLevel="0" collapsed="false">
      <c r="A58" s="64" t="n">
        <v>450000</v>
      </c>
      <c r="B58" s="65" t="n">
        <v>-0.00688337213295232</v>
      </c>
      <c r="C58" s="65" t="n">
        <v>0.0386736620424244</v>
      </c>
    </row>
    <row r="59" customFormat="false" ht="15" hidden="false" customHeight="true" outlineLevel="0" collapsed="false">
      <c r="A59" s="64" t="n">
        <v>460000</v>
      </c>
      <c r="B59" s="65" t="n">
        <v>-0.00844110636304896</v>
      </c>
      <c r="C59" s="65" t="n">
        <v>0.0368356247704063</v>
      </c>
    </row>
    <row r="60" customFormat="false" ht="15" hidden="false" customHeight="true" outlineLevel="0" collapsed="false">
      <c r="A60" s="64" t="n">
        <v>470000</v>
      </c>
      <c r="B60" s="65" t="n">
        <v>-0.00996591027193738</v>
      </c>
      <c r="C60" s="65" t="n">
        <v>0.0350461267767821</v>
      </c>
    </row>
    <row r="61" customFormat="false" ht="15" hidden="false" customHeight="true" outlineLevel="0" collapsed="false">
      <c r="A61" s="64" t="n">
        <v>480000</v>
      </c>
      <c r="B61" s="65" t="n">
        <v>-0.0114592061597318</v>
      </c>
      <c r="C61" s="65" t="n">
        <v>0.0333030161750203</v>
      </c>
    </row>
    <row r="62" customFormat="false" ht="15" hidden="false" customHeight="true" outlineLevel="0" collapsed="false">
      <c r="A62" s="64" t="n">
        <v>490000</v>
      </c>
      <c r="B62" s="65" t="n">
        <v>-0.0129223231792633</v>
      </c>
      <c r="C62" s="65" t="n">
        <v>0.0316042764602598</v>
      </c>
    </row>
    <row r="63" customFormat="false" ht="15" hidden="false" customHeight="true" outlineLevel="0" collapsed="false">
      <c r="A63" s="64" t="n">
        <v>500000</v>
      </c>
      <c r="B63" s="65" t="n">
        <v>-0.0146869449874714</v>
      </c>
      <c r="C63" s="65" t="n">
        <v>0.0299480155136185</v>
      </c>
    </row>
    <row r="64" customFormat="false" ht="15" hidden="false" customHeight="true" outlineLevel="0" collapsed="false">
      <c r="A64" s="64" t="n">
        <v>510000</v>
      </c>
      <c r="B64" s="65" t="n">
        <v>-0.0165220623215401</v>
      </c>
      <c r="C64" s="65" t="n">
        <v>0.028332455694587</v>
      </c>
    </row>
    <row r="65" customFormat="false" ht="15" hidden="false" customHeight="true" outlineLevel="0" collapsed="false">
      <c r="A65" s="64" t="n">
        <v>520000</v>
      </c>
      <c r="B65" s="65" t="n">
        <v>-0.018326716318311</v>
      </c>
      <c r="C65" s="65" t="n">
        <v>0.0267559248952209</v>
      </c>
    </row>
    <row r="66" customFormat="false" ht="15" hidden="false" customHeight="true" outlineLevel="0" collapsed="false">
      <c r="A66" s="64" t="n">
        <v>530000</v>
      </c>
      <c r="B66" s="65" t="n">
        <v>-0.0201021173405944</v>
      </c>
      <c r="C66" s="65" t="n">
        <v>0.0252168484465949</v>
      </c>
    </row>
    <row r="68" customFormat="false" ht="15" hidden="false" customHeight="true" outlineLevel="0" collapsed="false">
      <c r="A68" s="18" t="s">
        <v>346</v>
      </c>
      <c r="B68" s="19"/>
      <c r="C68" s="19"/>
    </row>
    <row r="69" customFormat="false" ht="15" hidden="false" customHeight="true" outlineLevel="0" collapsed="false">
      <c r="A69" s="63" t="s">
        <v>347</v>
      </c>
      <c r="B69" s="63" t="s">
        <v>344</v>
      </c>
      <c r="C69" s="63" t="s">
        <v>345</v>
      </c>
    </row>
    <row r="70" customFormat="false" ht="15" hidden="false" customHeight="true" outlineLevel="0" collapsed="false">
      <c r="A70" s="64" t="n">
        <v>20000</v>
      </c>
      <c r="B70" s="65" t="n">
        <v>-0.0611593574255753</v>
      </c>
      <c r="C70" s="65" t="n">
        <v>0.0189628420779986</v>
      </c>
    </row>
    <row r="71" customFormat="false" ht="15" hidden="false" customHeight="true" outlineLevel="0" collapsed="false">
      <c r="A71" s="64" t="n">
        <v>22000</v>
      </c>
      <c r="B71" s="65" t="n">
        <v>-0.0518495785475271</v>
      </c>
      <c r="C71" s="65" t="n">
        <v>0.0239702967788309</v>
      </c>
    </row>
    <row r="72" customFormat="false" ht="15" hidden="false" customHeight="true" outlineLevel="0" collapsed="false">
      <c r="A72" s="64" t="n">
        <v>24000</v>
      </c>
      <c r="B72" s="65" t="n">
        <v>-0.0433293265906565</v>
      </c>
      <c r="C72" s="65" t="n">
        <v>0.0287666112326019</v>
      </c>
    </row>
    <row r="73" customFormat="false" ht="15" hidden="false" customHeight="true" outlineLevel="0" collapsed="false">
      <c r="A73" s="64" t="n">
        <v>26000</v>
      </c>
      <c r="B73" s="65" t="n">
        <v>-0.0354420927020038</v>
      </c>
      <c r="C73" s="65" t="n">
        <v>0.0331996474046958</v>
      </c>
    </row>
    <row r="74" customFormat="false" ht="15" hidden="false" customHeight="true" outlineLevel="0" collapsed="false">
      <c r="A74" s="64" t="n">
        <v>28000</v>
      </c>
      <c r="B74" s="65" t="n">
        <v>-0.0283105297971613</v>
      </c>
      <c r="C74" s="65" t="n">
        <v>0.0368705188369805</v>
      </c>
    </row>
    <row r="75" customFormat="false" ht="15" hidden="false" customHeight="true" outlineLevel="0" collapsed="false">
      <c r="A75" s="64" t="n">
        <v>30000</v>
      </c>
      <c r="B75" s="65" t="n">
        <v>-0.0216535988302405</v>
      </c>
      <c r="C75" s="65" t="n">
        <v>0.0401082914021771</v>
      </c>
    </row>
    <row r="76" customFormat="false" ht="15" hidden="false" customHeight="true" outlineLevel="0" collapsed="false">
      <c r="A76" s="64" t="n">
        <v>32000</v>
      </c>
      <c r="B76" s="65" t="n">
        <v>-0.0153809486579447</v>
      </c>
      <c r="C76" s="65" t="n">
        <v>0.0432578183500607</v>
      </c>
    </row>
    <row r="77" customFormat="false" ht="15" hidden="false" customHeight="true" outlineLevel="0" collapsed="false">
      <c r="A77" s="64" t="n">
        <v>34000</v>
      </c>
      <c r="B77" s="65" t="n">
        <v>-0.00944855624677232</v>
      </c>
      <c r="C77" s="65" t="n">
        <v>0.0463240283392774</v>
      </c>
    </row>
    <row r="78" customFormat="false" ht="15" hidden="false" customHeight="true" outlineLevel="0" collapsed="false">
      <c r="A78" s="64" t="n">
        <v>36000</v>
      </c>
      <c r="B78" s="65" t="n">
        <v>-0.00385310757358359</v>
      </c>
      <c r="C78" s="65" t="n">
        <v>0.0493114418417415</v>
      </c>
    </row>
    <row r="79" customFormat="false" ht="15" hidden="false" customHeight="true" outlineLevel="0" collapsed="false">
      <c r="A79" s="64" t="n">
        <v>38000</v>
      </c>
      <c r="B79" s="65" t="n">
        <v>0.00136188627274492</v>
      </c>
      <c r="C79" s="65" t="n">
        <v>0.05222421534621</v>
      </c>
    </row>
    <row r="80" customFormat="false" ht="15" hidden="false" customHeight="true" outlineLevel="0" collapsed="false">
      <c r="A80" s="64" t="n">
        <v>40000</v>
      </c>
      <c r="B80" s="65" t="n">
        <v>0.00569420457520975</v>
      </c>
      <c r="C80" s="65" t="n">
        <v>0.0550661797096257</v>
      </c>
    </row>
    <row r="81" customFormat="false" ht="15" hidden="false" customHeight="true" outlineLevel="0" collapsed="false">
      <c r="A81" s="64" t="n">
        <v>42000</v>
      </c>
      <c r="B81" s="65" t="n">
        <v>0.00941154008048284</v>
      </c>
      <c r="C81" s="65" t="n">
        <v>0.0578408735646541</v>
      </c>
    </row>
    <row r="82" customFormat="false" ht="15" hidden="false" customHeight="true" outlineLevel="0" collapsed="false">
      <c r="A82" s="64" t="n">
        <v>44000</v>
      </c>
      <c r="B82" s="65" t="n">
        <v>0.013009606619369</v>
      </c>
      <c r="C82" s="65" t="n">
        <v>0.0605515725311512</v>
      </c>
    </row>
    <row r="83" customFormat="false" ht="15" hidden="false" customHeight="true" outlineLevel="0" collapsed="false">
      <c r="A83" s="64" t="n">
        <v>46000</v>
      </c>
      <c r="B83" s="65" t="n">
        <v>0.0164962055212152</v>
      </c>
      <c r="C83" s="65" t="n">
        <v>0.0632013148503274</v>
      </c>
    </row>
    <row r="84" customFormat="false" ht="15" hidden="false" customHeight="true" outlineLevel="0" collapsed="false">
      <c r="A84" s="64" t="n">
        <v>48000</v>
      </c>
      <c r="B84" s="65" t="n">
        <v>0.0198783851087838</v>
      </c>
      <c r="C84" s="65" t="n">
        <v>0.0657929239562702</v>
      </c>
    </row>
    <row r="85" customFormat="false" ht="15" hidden="false" customHeight="true" outlineLevel="0" collapsed="false">
      <c r="A85" s="64" t="n">
        <v>50000</v>
      </c>
      <c r="B85" s="65" t="n">
        <v>0.0231625353039331</v>
      </c>
      <c r="C85" s="65" t="n">
        <v>0.0683290284149389</v>
      </c>
    </row>
    <row r="86" customFormat="false" ht="15" hidden="false" customHeight="true" outlineLevel="0" collapsed="false">
      <c r="A86" s="64" t="n">
        <v>52000</v>
      </c>
      <c r="B86" s="65" t="n">
        <v>0.0263544677643868</v>
      </c>
      <c r="C86" s="65" t="n">
        <v>0.070812079591752</v>
      </c>
    </row>
    <row r="87" customFormat="false" ht="15" hidden="false" customHeight="true" outlineLevel="0" collapsed="false">
      <c r="A87" s="64" t="n">
        <v>54000</v>
      </c>
      <c r="B87" s="65" t="n">
        <v>0.0294594841356315</v>
      </c>
      <c r="C87" s="65" t="n">
        <v>0.0732443673522607</v>
      </c>
    </row>
    <row r="88" customFormat="false" ht="15" hidden="false" customHeight="true" outlineLevel="0" collapsed="false">
      <c r="A88" s="64" t="n">
        <v>56000</v>
      </c>
      <c r="B88" s="65" t="n">
        <v>0.0324824344780881</v>
      </c>
      <c r="C88" s="65" t="n">
        <v>0.0756280340537283</v>
      </c>
    </row>
    <row r="89" customFormat="false" ht="15" hidden="false" customHeight="true" outlineLevel="0" collapsed="false">
      <c r="A89" s="64" t="n">
        <v>58000</v>
      </c>
      <c r="B89" s="65" t="n">
        <v>0.0354277675239496</v>
      </c>
      <c r="C89" s="65" t="n">
        <v>0.0779650870467654</v>
      </c>
    </row>
    <row r="90" customFormat="false" ht="15" hidden="false" customHeight="true" outlineLevel="0" collapsed="false">
      <c r="A90" s="64" t="n">
        <v>60000</v>
      </c>
      <c r="B90" s="65" t="n">
        <v>0.0382995741013068</v>
      </c>
      <c r="C90" s="65" t="n">
        <v>0.0802574098740083</v>
      </c>
    </row>
    <row r="91" customFormat="false" ht="15" hidden="false" customHeight="true" outlineLevel="0" collapsed="false">
      <c r="A91" s="64" t="n">
        <v>62000</v>
      </c>
      <c r="B91" s="65" t="n">
        <v>0.0411016248139582</v>
      </c>
      <c r="C91" s="65" t="n">
        <v>0.0825067723259545</v>
      </c>
    </row>
    <row r="92" customFormat="false" ht="15" hidden="false" customHeight="true" outlineLevel="0" collapsed="false">
      <c r="A92" s="64" t="n">
        <v>64000</v>
      </c>
      <c r="B92" s="65" t="n">
        <v>0.0438374028678747</v>
      </c>
      <c r="C92" s="65" t="n">
        <v>0.0847148394915238</v>
      </c>
    </row>
    <row r="93" customFormat="false" ht="15" hidden="false" customHeight="true" outlineLevel="0" collapsed="false">
      <c r="A93" s="64" t="n">
        <v>66000</v>
      </c>
      <c r="B93" s="65" t="n">
        <v>0.0465101327777899</v>
      </c>
      <c r="C93" s="65" t="n">
        <v>0.0868831799219381</v>
      </c>
    </row>
    <row r="94" customFormat="false" ht="15" hidden="false" customHeight="true" outlineLevel="0" collapsed="false">
      <c r="A94" s="64" t="n">
        <v>68000</v>
      </c>
      <c r="B94" s="65" t="n">
        <v>0.0491228055609954</v>
      </c>
      <c r="C94" s="65" t="n">
        <v>0.0890132730104691</v>
      </c>
    </row>
    <row r="95" customFormat="false" ht="15" hidden="false" customHeight="true" outlineLevel="0" collapsed="false">
      <c r="A95" s="64" t="n">
        <v>70000</v>
      </c>
      <c r="B95" s="65" t="n">
        <v>0.0516782009233361</v>
      </c>
      <c r="C95" s="65" t="n">
        <v>0.091106515676997</v>
      </c>
    </row>
    <row r="96" customFormat="false" ht="15" hidden="false" customHeight="true" outlineLevel="0" collapsed="false">
      <c r="A96" s="64" t="n">
        <v>72000</v>
      </c>
      <c r="B96" s="65" t="n">
        <v>0.0541789068595204</v>
      </c>
      <c r="C96" s="65" t="n">
        <v>0.0931642284347509</v>
      </c>
    </row>
    <row r="97" customFormat="false" ht="15" hidden="false" customHeight="true" outlineLevel="0" collapsed="false">
      <c r="A97" s="64" t="n">
        <v>74000</v>
      </c>
      <c r="B97" s="65" t="n">
        <v>0.0566273370221828</v>
      </c>
      <c r="C97" s="65" t="n">
        <v>0.0951876609067155</v>
      </c>
    </row>
    <row r="98" customFormat="false" ht="15" hidden="false" customHeight="true" outlineLevel="0" collapsed="false">
      <c r="A98" s="64" t="n">
        <v>76000</v>
      </c>
      <c r="B98" s="65" t="n">
        <v>0.0590257461586055</v>
      </c>
      <c r="C98" s="65" t="n">
        <v>0.0971779968507205</v>
      </c>
    </row>
    <row r="99" customFormat="false" ht="15" hidden="false" customHeight="true" outlineLevel="0" collapsed="false">
      <c r="A99" s="64" t="n">
        <v>78000</v>
      </c>
      <c r="B99" s="65" t="n">
        <v>0.0613762438682135</v>
      </c>
      <c r="C99" s="65" t="n">
        <v>0.0991363587449687</v>
      </c>
    </row>
    <row r="100" customFormat="false" ht="15" hidden="false" customHeight="true" outlineLevel="0" collapsed="false">
      <c r="A100" s="64" t="n">
        <v>80000</v>
      </c>
      <c r="B100" s="65" t="n">
        <v>0.0636808068960229</v>
      </c>
      <c r="C100" s="65" t="n">
        <v>0.101063811979484</v>
      </c>
    </row>
    <row r="101" customFormat="false" ht="15" hidden="false" customHeight="true" outlineLevel="0" collapsed="false">
      <c r="A101" s="64" t="n">
        <v>82000</v>
      </c>
      <c r="B101" s="65" t="n">
        <v>0.0659412901456589</v>
      </c>
      <c r="C101" s="65" t="n">
        <v>0.102961368693558</v>
      </c>
    </row>
    <row r="103" customFormat="false" ht="15" hidden="false" customHeight="true" outlineLevel="0" collapsed="false">
      <c r="A103" s="3" t="s">
        <v>348</v>
      </c>
    </row>
    <row r="104" customFormat="false" ht="15" hidden="false" customHeight="true" outlineLevel="0" collapsed="false">
      <c r="A104" s="3" t="s">
        <v>349</v>
      </c>
    </row>
    <row r="105" customFormat="false" ht="15" hidden="false" customHeight="true" outlineLevel="0" collapsed="false">
      <c r="A105" s="3" t="s">
        <v>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5"/>
    <col collapsed="false" customWidth="true" hidden="false" outlineLevel="0" max="3" min="3" style="1" width="58"/>
    <col collapsed="false" customWidth="true" hidden="false" outlineLevel="0" max="7" min="4" style="1" width="15"/>
  </cols>
  <sheetData>
    <row r="1" customFormat="false" ht="18" hidden="false" customHeight="true" outlineLevel="0" collapsed="false">
      <c r="A1" s="2" t="s">
        <v>351</v>
      </c>
    </row>
    <row r="2" customFormat="false" ht="15" hidden="false" customHeight="true" outlineLevel="0" collapsed="false">
      <c r="A2" s="3" t="s">
        <v>352</v>
      </c>
    </row>
    <row r="4" customFormat="false" ht="15" hidden="false" customHeight="true" outlineLevel="0" collapsed="false">
      <c r="A4" s="18" t="s">
        <v>353</v>
      </c>
      <c r="B4" s="66" t="n">
        <v>34000</v>
      </c>
      <c r="C4" s="66" t="n">
        <v>38000</v>
      </c>
      <c r="D4" s="66" t="n">
        <v>42000</v>
      </c>
      <c r="E4" s="66" t="n">
        <v>46000</v>
      </c>
      <c r="F4" s="66" t="n">
        <v>50000</v>
      </c>
    </row>
    <row r="5" customFormat="false" ht="15" hidden="false" customHeight="true" outlineLevel="0" collapsed="false">
      <c r="A5" s="4" t="s">
        <v>354</v>
      </c>
    </row>
    <row r="6" customFormat="false" ht="15" hidden="false" customHeight="true" outlineLevel="0" collapsed="false">
      <c r="A6" s="27" t="n">
        <v>280000</v>
      </c>
      <c r="B6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6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6*(1+Assunzioni!$B$16+Assunzioni!$B$17)+Assunzioni!$B$18+Assunzioni!$B$19)*(1-Assunzioni!$B$47)*Assunzioni!$B$48)+Assunzioni!$B$26+Assunzioni!$B$27)*Assunzioni!$B$46)/($A6*(1+Assunzioni!$B$16+Assunzioni!$B$17+Assunzioni!$B$21)+Assunzioni!$B$18+Assunzioni!$B$19+Assunzioni!$B$20)</f>
        <v>0.00761960489741893</v>
      </c>
      <c r="C6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6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6*(1+Assunzioni!$B$16+Assunzioni!$B$17)+Assunzioni!$B$18+Assunzioni!$B$19)*(1-Assunzioni!$B$47)*Assunzioni!$B$48)+Assunzioni!$B$26+Assunzioni!$B$27)*Assunzioni!$B$46)/($A6*(1+Assunzioni!$B$16+Assunzioni!$B$17+Assunzioni!$B$21)+Assunzioni!$B$18+Assunzioni!$B$19+Assunzioni!$B$20)</f>
        <v>0.0189175559232296</v>
      </c>
      <c r="D6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6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6*(1+Assunzioni!$B$16+Assunzioni!$B$17)+Assunzioni!$B$18+Assunzioni!$B$19)*(1-Assunzioni!$B$47)*Assunzioni!$B$48)+Assunzioni!$B$26+Assunzioni!$B$27)*Assunzioni!$B$46)/($A6*(1+Assunzioni!$B$16+Assunzioni!$B$17+Assunzioni!$B$21)+Assunzioni!$B$18+Assunzioni!$B$19+Assunzioni!$B$20)</f>
        <v>0.0274404970218398</v>
      </c>
      <c r="E6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6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6*(1+Assunzioni!$B$16+Assunzioni!$B$17)+Assunzioni!$B$18+Assunzioni!$B$19)*(1-Assunzioni!$B$47)*Assunzioni!$B$48)+Assunzioni!$B$26+Assunzioni!$B$27)*Assunzioni!$B$46)/($A6*(1+Assunzioni!$B$16+Assunzioni!$B$17+Assunzioni!$B$21)+Assunzioni!$B$18+Assunzioni!$B$19+Assunzioni!$B$20)</f>
        <v>0.035916899404368</v>
      </c>
      <c r="F6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6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6*(1+Assunzioni!$B$16+Assunzioni!$B$17)+Assunzioni!$B$18+Assunzioni!$B$19)*(1-Assunzioni!$B$47)*Assunzioni!$B$48)+Assunzioni!$B$26+Assunzioni!$B$27)*Assunzioni!$B$46)/($A6*(1+Assunzioni!$B$16+Assunzioni!$B$17+Assunzioni!$B$21)+Assunzioni!$B$18+Assunzioni!$B$19+Assunzioni!$B$20)</f>
        <v>0.0443933017868961</v>
      </c>
    </row>
    <row r="7" customFormat="false" ht="15" hidden="false" customHeight="true" outlineLevel="0" collapsed="false">
      <c r="A7" s="27" t="n">
        <v>300000</v>
      </c>
      <c r="B7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7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7*(1+Assunzioni!$B$16+Assunzioni!$B$17)+Assunzioni!$B$18+Assunzioni!$B$19)*(1-Assunzioni!$B$47)*Assunzioni!$B$48)+Assunzioni!$B$26+Assunzioni!$B$27)*Assunzioni!$B$46)/($A7*(1+Assunzioni!$B$16+Assunzioni!$B$17+Assunzioni!$B$21)+Assunzioni!$B$18+Assunzioni!$B$19+Assunzioni!$B$20)</f>
        <v>0.00718167120743034</v>
      </c>
      <c r="C7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7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7*(1+Assunzioni!$B$16+Assunzioni!$B$17)+Assunzioni!$B$18+Assunzioni!$B$19)*(1-Assunzioni!$B$47)*Assunzioni!$B$48)+Assunzioni!$B$26+Assunzioni!$B$27)*Assunzioni!$B$46)/($A7*(1+Assunzioni!$B$16+Assunzioni!$B$17+Assunzioni!$B$21)+Assunzioni!$B$18+Assunzioni!$B$19+Assunzioni!$B$20)</f>
        <v>0.0177520761609907</v>
      </c>
      <c r="D7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7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7*(1+Assunzioni!$B$16+Assunzioni!$B$17)+Assunzioni!$B$18+Assunzioni!$B$19)*(1-Assunzioni!$B$47)*Assunzioni!$B$48)+Assunzioni!$B$26+Assunzioni!$B$27)*Assunzioni!$B$46)/($A7*(1+Assunzioni!$B$16+Assunzioni!$B$17+Assunzioni!$B$21)+Assunzioni!$B$18+Assunzioni!$B$19+Assunzioni!$B$20)</f>
        <v>0.0260507287925697</v>
      </c>
      <c r="E7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7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7*(1+Assunzioni!$B$16+Assunzioni!$B$17)+Assunzioni!$B$18+Assunzioni!$B$19)*(1-Assunzioni!$B$47)*Assunzioni!$B$48)+Assunzioni!$B$26+Assunzioni!$B$27)*Assunzioni!$B$46)/($A7*(1+Assunzioni!$B$16+Assunzioni!$B$17+Assunzioni!$B$21)+Assunzioni!$B$18+Assunzioni!$B$19+Assunzioni!$B$20)</f>
        <v>0.0339812823529412</v>
      </c>
      <c r="F7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7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7*(1+Assunzioni!$B$16+Assunzioni!$B$17)+Assunzioni!$B$18+Assunzioni!$B$19)*(1-Assunzioni!$B$47)*Assunzioni!$B$48)+Assunzioni!$B$26+Assunzioni!$B$27)*Assunzioni!$B$46)/($A7*(1+Assunzioni!$B$16+Assunzioni!$B$17+Assunzioni!$B$21)+Assunzioni!$B$18+Assunzioni!$B$19+Assunzioni!$B$20)</f>
        <v>0.0419118359133127</v>
      </c>
    </row>
    <row r="8" customFormat="false" ht="15" hidden="false" customHeight="true" outlineLevel="0" collapsed="false">
      <c r="A8" s="27" t="n">
        <v>320000</v>
      </c>
      <c r="B8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8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8*(1+Assunzioni!$B$16+Assunzioni!$B$17)+Assunzioni!$B$18+Assunzioni!$B$19)*(1-Assunzioni!$B$47)*Assunzioni!$B$48)+Assunzioni!$B$26+Assunzioni!$B$27)*Assunzioni!$B$46)/($A8*(1+Assunzioni!$B$16+Assunzioni!$B$17+Assunzioni!$B$21)+Assunzioni!$B$18+Assunzioni!$B$19+Assunzioni!$B$20)</f>
        <v>0.0067967277486911</v>
      </c>
      <c r="C8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8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8*(1+Assunzioni!$B$16+Assunzioni!$B$17)+Assunzioni!$B$18+Assunzioni!$B$19)*(1-Assunzioni!$B$47)*Assunzioni!$B$48)+Assunzioni!$B$26+Assunzioni!$B$27)*Assunzioni!$B$46)/($A8*(1+Assunzioni!$B$16+Assunzioni!$B$17+Assunzioni!$B$21)+Assunzioni!$B$18+Assunzioni!$B$19+Assunzioni!$B$20)</f>
        <v>0.0167276201279814</v>
      </c>
      <c r="D8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8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8*(1+Assunzioni!$B$16+Assunzioni!$B$17)+Assunzioni!$B$18+Assunzioni!$B$19)*(1-Assunzioni!$B$47)*Assunzioni!$B$48)+Assunzioni!$B$26+Assunzioni!$B$27)*Assunzioni!$B$46)/($A8*(1+Assunzioni!$B$16+Assunzioni!$B$17+Assunzioni!$B$21)+Assunzioni!$B$18+Assunzioni!$B$19+Assunzioni!$B$20)</f>
        <v>0.024829123327516</v>
      </c>
      <c r="E8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8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8*(1+Assunzioni!$B$16+Assunzioni!$B$17)+Assunzioni!$B$18+Assunzioni!$B$19)*(1-Assunzioni!$B$47)*Assunzioni!$B$48)+Assunzioni!$B$26+Assunzioni!$B$27)*Assunzioni!$B$46)/($A8*(1+Assunzioni!$B$16+Assunzioni!$B$17+Assunzioni!$B$21)+Assunzioni!$B$18+Assunzioni!$B$19+Assunzioni!$B$20)</f>
        <v>0.0322798760907504</v>
      </c>
      <c r="F8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8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8*(1+Assunzioni!$B$16+Assunzioni!$B$17)+Assunzioni!$B$18+Assunzioni!$B$19)*(1-Assunzioni!$B$47)*Assunzioni!$B$48)+Assunzioni!$B$26+Assunzioni!$B$27)*Assunzioni!$B$46)/($A8*(1+Assunzioni!$B$16+Assunzioni!$B$17+Assunzioni!$B$21)+Assunzioni!$B$18+Assunzioni!$B$19+Assunzioni!$B$20)</f>
        <v>0.0397306288539849</v>
      </c>
    </row>
    <row r="9" customFormat="false" ht="15" hidden="false" customHeight="true" outlineLevel="0" collapsed="false">
      <c r="A9" s="27" t="n">
        <v>340000</v>
      </c>
      <c r="B9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9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9*(1+Assunzioni!$B$16+Assunzioni!$B$17)+Assunzioni!$B$18+Assunzioni!$B$19)*(1-Assunzioni!$B$47)*Assunzioni!$B$48)+Assunzioni!$B$26+Assunzioni!$B$27)*Assunzioni!$B$46)/($A9*(1+Assunzioni!$B$16+Assunzioni!$B$17+Assunzioni!$B$21)+Assunzioni!$B$18+Assunzioni!$B$19+Assunzioni!$B$20)</f>
        <v>0.00645570543060889</v>
      </c>
      <c r="C9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9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9*(1+Assunzioni!$B$16+Assunzioni!$B$17)+Assunzioni!$B$18+Assunzioni!$B$19)*(1-Assunzioni!$B$47)*Assunzioni!$B$48)+Assunzioni!$B$26+Assunzioni!$B$27)*Assunzioni!$B$46)/($A9*(1+Assunzioni!$B$16+Assunzioni!$B$17+Assunzioni!$B$21)+Assunzioni!$B$18+Assunzioni!$B$19+Assunzioni!$B$20)</f>
        <v>0.0158200521119035</v>
      </c>
      <c r="D9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9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9*(1+Assunzioni!$B$16+Assunzioni!$B$17)+Assunzioni!$B$18+Assunzioni!$B$19)*(1-Assunzioni!$B$47)*Assunzioni!$B$48)+Assunzioni!$B$26+Assunzioni!$B$27)*Assunzioni!$B$46)/($A9*(1+Assunzioni!$B$16+Assunzioni!$B$17+Assunzioni!$B$21)+Assunzioni!$B$18+Assunzioni!$B$19+Assunzioni!$B$20)</f>
        <v>0.0237469001645639</v>
      </c>
      <c r="E9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9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9*(1+Assunzioni!$B$16+Assunzioni!$B$17)+Assunzioni!$B$18+Assunzioni!$B$19)*(1-Assunzioni!$B$47)*Assunzioni!$B$48)+Assunzioni!$B$26+Assunzioni!$B$27)*Assunzioni!$B$46)/($A9*(1+Assunzioni!$B$16+Assunzioni!$B$17+Assunzioni!$B$21)+Assunzioni!$B$18+Assunzioni!$B$19+Assunzioni!$B$20)</f>
        <v>0.0307725962698848</v>
      </c>
      <c r="F9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9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9*(1+Assunzioni!$B$16+Assunzioni!$B$17)+Assunzioni!$B$18+Assunzioni!$B$19)*(1-Assunzioni!$B$47)*Assunzioni!$B$48)+Assunzioni!$B$26+Assunzioni!$B$27)*Assunzioni!$B$46)/($A9*(1+Assunzioni!$B$16+Assunzioni!$B$17+Assunzioni!$B$21)+Assunzioni!$B$18+Assunzioni!$B$19+Assunzioni!$B$20)</f>
        <v>0.0377982923752057</v>
      </c>
    </row>
    <row r="10" customFormat="false" ht="15" hidden="false" customHeight="true" outlineLevel="0" collapsed="false">
      <c r="A10" s="27" t="n">
        <v>360000</v>
      </c>
      <c r="B10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10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10*(1+Assunzioni!$B$16+Assunzioni!$B$17)+Assunzioni!$B$18+Assunzioni!$B$19)*(1-Assunzioni!$B$47)*Assunzioni!$B$48)+Assunzioni!$B$26+Assunzioni!$B$27)*Assunzioni!$B$46)/($A10*(1+Assunzioni!$B$16+Assunzioni!$B$17+Assunzioni!$B$21)+Assunzioni!$B$18+Assunzioni!$B$19+Assunzioni!$B$20)</f>
        <v>0.00615149299429164</v>
      </c>
      <c r="C10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10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10*(1+Assunzioni!$B$16+Assunzioni!$B$17)+Assunzioni!$B$18+Assunzioni!$B$19)*(1-Assunzioni!$B$47)*Assunzioni!$B$48)+Assunzioni!$B$26+Assunzioni!$B$27)*Assunzioni!$B$46)/($A10*(1+Assunzioni!$B$16+Assunzioni!$B$17+Assunzioni!$B$21)+Assunzioni!$B$18+Assunzioni!$B$19+Assunzioni!$B$20)</f>
        <v>0.0150104468085106</v>
      </c>
      <c r="D10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10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10*(1+Assunzioni!$B$16+Assunzioni!$B$17)+Assunzioni!$B$18+Assunzioni!$B$19)*(1-Assunzioni!$B$47)*Assunzioni!$B$48)+Assunzioni!$B$26+Assunzioni!$B$27)*Assunzioni!$B$46)/($A10*(1+Assunzioni!$B$16+Assunzioni!$B$17+Assunzioni!$B$21)+Assunzioni!$B$18+Assunzioni!$B$19+Assunzioni!$B$20)</f>
        <v>0.0227814919564089</v>
      </c>
      <c r="E10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10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10*(1+Assunzioni!$B$16+Assunzioni!$B$17)+Assunzioni!$B$18+Assunzioni!$B$19)*(1-Assunzioni!$B$47)*Assunzioni!$B$48)+Assunzioni!$B$26+Assunzioni!$B$27)*Assunzioni!$B$46)/($A10*(1+Assunzioni!$B$16+Assunzioni!$B$17+Assunzioni!$B$21)+Assunzioni!$B$18+Assunzioni!$B$19+Assunzioni!$B$20)</f>
        <v>0.0294280119356513</v>
      </c>
      <c r="F10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10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10*(1+Assunzioni!$B$16+Assunzioni!$B$17)+Assunzioni!$B$18+Assunzioni!$B$19)*(1-Assunzioni!$B$47)*Assunzioni!$B$48)+Assunzioni!$B$26+Assunzioni!$B$27)*Assunzioni!$B$46)/($A10*(1+Assunzioni!$B$16+Assunzioni!$B$17+Assunzioni!$B$21)+Assunzioni!$B$18+Assunzioni!$B$19+Assunzioni!$B$20)</f>
        <v>0.0360745319148936</v>
      </c>
    </row>
    <row r="11" customFormat="false" ht="15" hidden="false" customHeight="true" outlineLevel="0" collapsed="false">
      <c r="A11" s="27" t="n">
        <v>400000</v>
      </c>
      <c r="B11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11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11*(1+Assunzioni!$B$16+Assunzioni!$B$17)+Assunzioni!$B$18+Assunzioni!$B$19)*(1-Assunzioni!$B$47)*Assunzioni!$B$48)+Assunzioni!$B$26+Assunzioni!$B$27)*Assunzioni!$B$46)/($A11*(1+Assunzioni!$B$16+Assunzioni!$B$17+Assunzioni!$B$21)+Assunzioni!$B$18+Assunzioni!$B$19+Assunzioni!$B$20)</f>
        <v>0.00563198079625293</v>
      </c>
      <c r="C11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11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11*(1+Assunzioni!$B$16+Assunzioni!$B$17)+Assunzioni!$B$18+Assunzioni!$B$19)*(1-Assunzioni!$B$47)*Assunzioni!$B$48)+Assunzioni!$B$26+Assunzioni!$B$27)*Assunzioni!$B$46)/($A11*(1+Assunzioni!$B$16+Assunzioni!$B$17+Assunzioni!$B$21)+Assunzioni!$B$18+Assunzioni!$B$19+Assunzioni!$B$20)</f>
        <v>0.0136278608899297</v>
      </c>
      <c r="D11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11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11*(1+Assunzioni!$B$16+Assunzioni!$B$17)+Assunzioni!$B$18+Assunzioni!$B$19)*(1-Assunzioni!$B$47)*Assunzioni!$B$48)+Assunzioni!$B$26+Assunzioni!$B$27)*Assunzioni!$B$46)/($A11*(1+Assunzioni!$B$16+Assunzioni!$B$17+Assunzioni!$B$21)+Assunzioni!$B$18+Assunzioni!$B$19+Assunzioni!$B$20)</f>
        <v>0.0211328370023419</v>
      </c>
      <c r="E11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11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11*(1+Assunzioni!$B$16+Assunzioni!$B$17)+Assunzioni!$B$18+Assunzioni!$B$19)*(1-Assunzioni!$B$47)*Assunzioni!$B$48)+Assunzioni!$B$26+Assunzioni!$B$27)*Assunzioni!$B$46)/($A11*(1+Assunzioni!$B$16+Assunzioni!$B$17+Assunzioni!$B$21)+Assunzioni!$B$18+Assunzioni!$B$19+Assunzioni!$B$20)</f>
        <v>0.0271318271662763</v>
      </c>
      <c r="F11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11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11*(1+Assunzioni!$B$16+Assunzioni!$B$17)+Assunzioni!$B$18+Assunzioni!$B$19)*(1-Assunzioni!$B$47)*Assunzioni!$B$48)+Assunzioni!$B$26+Assunzioni!$B$27)*Assunzioni!$B$46)/($A11*(1+Assunzioni!$B$16+Assunzioni!$B$17+Assunzioni!$B$21)+Assunzioni!$B$18+Assunzioni!$B$19+Assunzioni!$B$20)</f>
        <v>0.0331308173302108</v>
      </c>
    </row>
    <row r="12" customFormat="false" ht="15" hidden="false" customHeight="true" outlineLevel="0" collapsed="false">
      <c r="A12" s="27" t="n">
        <v>450000</v>
      </c>
      <c r="B12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12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12*(1+Assunzioni!$B$16+Assunzioni!$B$17)+Assunzioni!$B$18+Assunzioni!$B$19)*(1-Assunzioni!$B$47)*Assunzioni!$B$48)+Assunzioni!$B$26+Assunzioni!$B$27)*Assunzioni!$B$46)/($A12*(1+Assunzioni!$B$16+Assunzioni!$B$17+Assunzioni!$B$21)+Assunzioni!$B$18+Assunzioni!$B$19+Assunzioni!$B$20)</f>
        <v>0.00510948601252609</v>
      </c>
      <c r="C12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12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12*(1+Assunzioni!$B$16+Assunzioni!$B$17)+Assunzioni!$B$18+Assunzioni!$B$19)*(1-Assunzioni!$B$47)*Assunzioni!$B$48)+Assunzioni!$B$26+Assunzioni!$B$27)*Assunzioni!$B$46)/($A12*(1+Assunzioni!$B$16+Assunzioni!$B$17+Assunzioni!$B$21)+Assunzioni!$B$18+Assunzioni!$B$19+Assunzioni!$B$20)</f>
        <v>0.0122373373695198</v>
      </c>
      <c r="D12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12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12*(1+Assunzioni!$B$16+Assunzioni!$B$17)+Assunzioni!$B$18+Assunzioni!$B$19)*(1-Assunzioni!$B$47)*Assunzioni!$B$48)+Assunzioni!$B$26+Assunzioni!$B$27)*Assunzioni!$B$46)/($A12*(1+Assunzioni!$B$16+Assunzioni!$B$17+Assunzioni!$B$21)+Assunzioni!$B$18+Assunzioni!$B$19+Assunzioni!$B$20)</f>
        <v>0.0193651887265136</v>
      </c>
      <c r="E12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12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12*(1+Assunzioni!$B$16+Assunzioni!$B$17)+Assunzioni!$B$18+Assunzioni!$B$19)*(1-Assunzioni!$B$47)*Assunzioni!$B$48)+Assunzioni!$B$26+Assunzioni!$B$27)*Assunzioni!$B$46)/($A12*(1+Assunzioni!$B$16+Assunzioni!$B$17+Assunzioni!$B$21)+Assunzioni!$B$18+Assunzioni!$B$19+Assunzioni!$B$20)</f>
        <v>0.0248224597077244</v>
      </c>
      <c r="F12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12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12*(1+Assunzioni!$B$16+Assunzioni!$B$17)+Assunzioni!$B$18+Assunzioni!$B$19)*(1-Assunzioni!$B$47)*Assunzioni!$B$48)+Assunzioni!$B$26+Assunzioni!$B$27)*Assunzioni!$B$46)/($A12*(1+Assunzioni!$B$16+Assunzioni!$B$17+Assunzioni!$B$21)+Assunzioni!$B$18+Assunzioni!$B$19+Assunzioni!$B$20)</f>
        <v>0.0301702025052192</v>
      </c>
    </row>
    <row r="13" customFormat="false" ht="15" hidden="false" customHeight="true" outlineLevel="0" collapsed="false">
      <c r="A13" s="27" t="n">
        <v>500000</v>
      </c>
      <c r="B13" s="67" t="n">
        <f aca="false">(((B$4*(1-Assunzioni!$B$12))-(Assunzioni!$B$39*((B$4*Assunzioni!$B$40/12)+Assunzioni!$B$41))-(Assunzioni!$B$26+Assunzioni!$B$27+Assunzioni!$B$28+Assunzioni!$B$29+Assunzioni!$B$30+(B$4*(1-Assunzioni!$B$12))*Assunzioni!$B$31))-MAX(0,((B$4*(1-Assunzioni!$B$12))-(Assunzioni!$B$39*((B$4*Assunzioni!$B$40/12)+Assunzioni!$B$41))-(Assunzioni!$B$26+Assunzioni!$B$27+Assunzioni!$B$28+Assunzioni!$B$29+Assunzioni!$B$30+(B$4*(1-Assunzioni!$B$12))*Assunzioni!$B$31))-(($A13*(1+Assunzioni!$B$16+Assunzioni!$B$17)+Assunzioni!$B$18+Assunzioni!$B$19)*(1-Assunzioni!$B$47)*Assunzioni!$B$48))*Assunzioni!$B$45-MAX(0,((B$4*(1-Assunzioni!$B$12))-(Assunzioni!$B$39*((B$4*Assunzioni!$B$40/12)+Assunzioni!$B$41))-(Assunzioni!$B$26+Assunzioni!$B$27+Assunzioni!$B$28+Assunzioni!$B$29+Assunzioni!$B$30+(B$4*(1-Assunzioni!$B$12))*Assunzioni!$B$31))-(($A13*(1+Assunzioni!$B$16+Assunzioni!$B$17)+Assunzioni!$B$18+Assunzioni!$B$19)*(1-Assunzioni!$B$47)*Assunzioni!$B$48)+Assunzioni!$B$26+Assunzioni!$B$27)*Assunzioni!$B$46)/($A13*(1+Assunzioni!$B$16+Assunzioni!$B$17+Assunzioni!$B$21)+Assunzioni!$B$18+Assunzioni!$B$19+Assunzioni!$B$20)</f>
        <v>0.00468932542372881</v>
      </c>
      <c r="C13" s="67" t="n">
        <f aca="false">(((C$4*(1-Assunzioni!$B$12))-(Assunzioni!$B$39*((C$4*Assunzioni!$B$40/12)+Assunzioni!$B$41))-(Assunzioni!$B$26+Assunzioni!$B$27+Assunzioni!$B$28+Assunzioni!$B$29+Assunzioni!$B$30+(C$4*(1-Assunzioni!$B$12))*Assunzioni!$B$31))-MAX(0,((C$4*(1-Assunzioni!$B$12))-(Assunzioni!$B$39*((C$4*Assunzioni!$B$40/12)+Assunzioni!$B$41))-(Assunzioni!$B$26+Assunzioni!$B$27+Assunzioni!$B$28+Assunzioni!$B$29+Assunzioni!$B$30+(C$4*(1-Assunzioni!$B$12))*Assunzioni!$B$31))-(($A13*(1+Assunzioni!$B$16+Assunzioni!$B$17)+Assunzioni!$B$18+Assunzioni!$B$19)*(1-Assunzioni!$B$47)*Assunzioni!$B$48))*Assunzioni!$B$45-MAX(0,((C$4*(1-Assunzioni!$B$12))-(Assunzioni!$B$39*((C$4*Assunzioni!$B$40/12)+Assunzioni!$B$41))-(Assunzioni!$B$26+Assunzioni!$B$27+Assunzioni!$B$28+Assunzioni!$B$29+Assunzioni!$B$30+(C$4*(1-Assunzioni!$B$12))*Assunzioni!$B$31))-(($A13*(1+Assunzioni!$B$16+Assunzioni!$B$17)+Assunzioni!$B$18+Assunzioni!$B$19)*(1-Assunzioni!$B$47)*Assunzioni!$B$48)+Assunzioni!$B$26+Assunzioni!$B$27)*Assunzioni!$B$46)/($A13*(1+Assunzioni!$B$16+Assunzioni!$B$17+Assunzioni!$B$21)+Assunzioni!$B$18+Assunzioni!$B$19+Assunzioni!$B$20)</f>
        <v>0.0111191574387947</v>
      </c>
      <c r="D13" s="67" t="n">
        <f aca="false">(((D$4*(1-Assunzioni!$B$12))-(Assunzioni!$B$39*((D$4*Assunzioni!$B$40/12)+Assunzioni!$B$41))-(Assunzioni!$B$26+Assunzioni!$B$27+Assunzioni!$B$28+Assunzioni!$B$29+Assunzioni!$B$30+(D$4*(1-Assunzioni!$B$12))*Assunzioni!$B$31))-MAX(0,((D$4*(1-Assunzioni!$B$12))-(Assunzioni!$B$39*((D$4*Assunzioni!$B$40/12)+Assunzioni!$B$41))-(Assunzioni!$B$26+Assunzioni!$B$27+Assunzioni!$B$28+Assunzioni!$B$29+Assunzioni!$B$30+(D$4*(1-Assunzioni!$B$12))*Assunzioni!$B$31))-(($A13*(1+Assunzioni!$B$16+Assunzioni!$B$17)+Assunzioni!$B$18+Assunzioni!$B$19)*(1-Assunzioni!$B$47)*Assunzioni!$B$48))*Assunzioni!$B$45-MAX(0,((D$4*(1-Assunzioni!$B$12))-(Assunzioni!$B$39*((D$4*Assunzioni!$B$40/12)+Assunzioni!$B$41))-(Assunzioni!$B$26+Assunzioni!$B$27+Assunzioni!$B$28+Assunzioni!$B$29+Assunzioni!$B$30+(D$4*(1-Assunzioni!$B$12))*Assunzioni!$B$31))-(($A13*(1+Assunzioni!$B$16+Assunzioni!$B$17)+Assunzioni!$B$18+Assunzioni!$B$19)*(1-Assunzioni!$B$47)*Assunzioni!$B$48)+Assunzioni!$B$26+Assunzioni!$B$27)*Assunzioni!$B$46)/($A13*(1+Assunzioni!$B$16+Assunzioni!$B$17+Assunzioni!$B$21)+Assunzioni!$B$18+Assunzioni!$B$19+Assunzioni!$B$20)</f>
        <v>0.0175489894538606</v>
      </c>
      <c r="E13" s="67" t="n">
        <f aca="false">(((E$4*(1-Assunzioni!$B$12))-(Assunzioni!$B$39*((E$4*Assunzioni!$B$40/12)+Assunzioni!$B$41))-(Assunzioni!$B$26+Assunzioni!$B$27+Assunzioni!$B$28+Assunzioni!$B$29+Assunzioni!$B$30+(E$4*(1-Assunzioni!$B$12))*Assunzioni!$B$31))-MAX(0,((E$4*(1-Assunzioni!$B$12))-(Assunzioni!$B$39*((E$4*Assunzioni!$B$40/12)+Assunzioni!$B$41))-(Assunzioni!$B$26+Assunzioni!$B$27+Assunzioni!$B$28+Assunzioni!$B$29+Assunzioni!$B$30+(E$4*(1-Assunzioni!$B$12))*Assunzioni!$B$31))-(($A13*(1+Assunzioni!$B$16+Assunzioni!$B$17)+Assunzioni!$B$18+Assunzioni!$B$19)*(1-Assunzioni!$B$47)*Assunzioni!$B$48))*Assunzioni!$B$45-MAX(0,((E$4*(1-Assunzioni!$B$12))-(Assunzioni!$B$39*((E$4*Assunzioni!$B$40/12)+Assunzioni!$B$41))-(Assunzioni!$B$26+Assunzioni!$B$27+Assunzioni!$B$28+Assunzioni!$B$29+Assunzioni!$B$30+(E$4*(1-Assunzioni!$B$12))*Assunzioni!$B$31))-(($A13*(1+Assunzioni!$B$16+Assunzioni!$B$17)+Assunzioni!$B$18+Assunzioni!$B$19)*(1-Assunzioni!$B$47)*Assunzioni!$B$48)+Assunzioni!$B$26+Assunzioni!$B$27)*Assunzioni!$B$46)/($A13*(1+Assunzioni!$B$16+Assunzioni!$B$17+Assunzioni!$B$21)+Assunzioni!$B$18+Assunzioni!$B$19+Assunzioni!$B$20)</f>
        <v>0.022965397740113</v>
      </c>
      <c r="F13" s="67" t="n">
        <f aca="false">(((F$4*(1-Assunzioni!$B$12))-(Assunzioni!$B$39*((F$4*Assunzioni!$B$40/12)+Assunzioni!$B$41))-(Assunzioni!$B$26+Assunzioni!$B$27+Assunzioni!$B$28+Assunzioni!$B$29+Assunzioni!$B$30+(F$4*(1-Assunzioni!$B$12))*Assunzioni!$B$31))-MAX(0,((F$4*(1-Assunzioni!$B$12))-(Assunzioni!$B$39*((F$4*Assunzioni!$B$40/12)+Assunzioni!$B$41))-(Assunzioni!$B$26+Assunzioni!$B$27+Assunzioni!$B$28+Assunzioni!$B$29+Assunzioni!$B$30+(F$4*(1-Assunzioni!$B$12))*Assunzioni!$B$31))-(($A13*(1+Assunzioni!$B$16+Assunzioni!$B$17)+Assunzioni!$B$18+Assunzioni!$B$19)*(1-Assunzioni!$B$47)*Assunzioni!$B$48))*Assunzioni!$B$45-MAX(0,((F$4*(1-Assunzioni!$B$12))-(Assunzioni!$B$39*((F$4*Assunzioni!$B$40/12)+Assunzioni!$B$41))-(Assunzioni!$B$26+Assunzioni!$B$27+Assunzioni!$B$28+Assunzioni!$B$29+Assunzioni!$B$30+(F$4*(1-Assunzioni!$B$12))*Assunzioni!$B$31))-(($A13*(1+Assunzioni!$B$16+Assunzioni!$B$17)+Assunzioni!$B$18+Assunzioni!$B$19)*(1-Assunzioni!$B$47)*Assunzioni!$B$48)+Assunzioni!$B$26+Assunzioni!$B$27)*Assunzioni!$B$46)/($A13*(1+Assunzioni!$B$16+Assunzioni!$B$17+Assunzioni!$B$21)+Assunzioni!$B$18+Assunzioni!$B$19+Assunzioni!$B$20)</f>
        <v>0.0277894444444444</v>
      </c>
    </row>
    <row r="15" customFormat="false" ht="15" hidden="false" customHeight="true" outlineLevel="0" collapsed="false">
      <c r="A15" s="3" t="s">
        <v>355</v>
      </c>
    </row>
    <row r="17" customFormat="false" ht="15" hidden="false" customHeight="true" outlineLevel="0" collapsed="false">
      <c r="A17" s="18" t="s">
        <v>356</v>
      </c>
      <c r="B17" s="19"/>
      <c r="C17" s="19"/>
      <c r="D17" s="19"/>
      <c r="E17" s="19"/>
      <c r="F17" s="19"/>
      <c r="G17" s="19"/>
    </row>
    <row r="18" customFormat="false" ht="15" hidden="false" customHeight="true" outlineLevel="0" collapsed="false">
      <c r="A18" s="4" t="s">
        <v>357</v>
      </c>
      <c r="B18" s="29" t="n">
        <f aca="false">Assunzioni!B77*(1-Assunzioni!B45)-Assunzioni!B81</f>
        <v>0.028096</v>
      </c>
    </row>
    <row r="19" customFormat="false" ht="15" hidden="false" customHeight="true" outlineLevel="0" collapsed="false">
      <c r="A19" s="4" t="s">
        <v>358</v>
      </c>
      <c r="B19" s="29" t="n">
        <f aca="false">D_ETF_Accumulazione!B22</f>
        <v>0.0266401247584831</v>
      </c>
    </row>
    <row r="20" customFormat="false" ht="15" hidden="false" customHeight="true" outlineLevel="0" collapsed="false">
      <c r="A20" s="4" t="s">
        <v>359</v>
      </c>
      <c r="B20" s="29" t="n">
        <f aca="false">A_Immobile_Equity!B44</f>
        <v>0.00941154008048284</v>
      </c>
    </row>
    <row r="21" customFormat="false" ht="15" hidden="false" customHeight="true" outlineLevel="0" collapsed="false">
      <c r="A21" s="4" t="s">
        <v>360</v>
      </c>
      <c r="B21" s="29" t="n">
        <f aca="false">B_Immobile_Leva!B57</f>
        <v>0.00692441216730999</v>
      </c>
    </row>
    <row r="23" customFormat="false" ht="15" hidden="false" customHeight="true" outlineLevel="0" collapsed="false">
      <c r="A23" s="18" t="s">
        <v>361</v>
      </c>
      <c r="B23" s="19"/>
      <c r="C23" s="19"/>
      <c r="D23" s="19"/>
      <c r="E23" s="19"/>
      <c r="F23" s="19"/>
      <c r="G23" s="19"/>
    </row>
    <row r="24" customFormat="false" ht="15" hidden="false" customHeight="true" outlineLevel="0" collapsed="false">
      <c r="A24" s="4" t="s">
        <v>362</v>
      </c>
      <c r="B24" s="4" t="s">
        <v>363</v>
      </c>
      <c r="C24" s="4" t="s">
        <v>364</v>
      </c>
    </row>
    <row r="25" customFormat="false" ht="15" hidden="false" customHeight="true" outlineLevel="0" collapsed="false">
      <c r="A25" s="31" t="s">
        <v>365</v>
      </c>
      <c r="B25" s="68" t="s">
        <v>366</v>
      </c>
      <c r="C25" s="3" t="s">
        <v>367</v>
      </c>
    </row>
    <row r="26" customFormat="false" ht="15" hidden="false" customHeight="true" outlineLevel="0" collapsed="false">
      <c r="A26" s="31" t="s">
        <v>368</v>
      </c>
      <c r="B26" s="68" t="s">
        <v>369</v>
      </c>
      <c r="C26" s="3" t="s">
        <v>370</v>
      </c>
    </row>
    <row r="27" customFormat="false" ht="15" hidden="false" customHeight="true" outlineLevel="0" collapsed="false">
      <c r="A27" s="31" t="s">
        <v>371</v>
      </c>
      <c r="B27" s="68" t="s">
        <v>372</v>
      </c>
      <c r="C27" s="3" t="s">
        <v>373</v>
      </c>
    </row>
    <row r="28" customFormat="false" ht="15" hidden="false" customHeight="true" outlineLevel="0" collapsed="false">
      <c r="A28" s="31" t="s">
        <v>374</v>
      </c>
      <c r="B28" s="68" t="s">
        <v>375</v>
      </c>
      <c r="C28" s="3" t="s">
        <v>376</v>
      </c>
    </row>
    <row r="29" customFormat="false" ht="15" hidden="false" customHeight="true" outlineLevel="0" collapsed="false">
      <c r="A29" s="31" t="s">
        <v>377</v>
      </c>
      <c r="B29" s="68" t="s">
        <v>378</v>
      </c>
      <c r="C29" s="3" t="s">
        <v>379</v>
      </c>
    </row>
    <row r="30" customFormat="false" ht="15" hidden="false" customHeight="true" outlineLevel="0" collapsed="false">
      <c r="A30" s="31" t="s">
        <v>380</v>
      </c>
      <c r="B30" s="68" t="s">
        <v>381</v>
      </c>
      <c r="C30" s="3" t="s">
        <v>382</v>
      </c>
    </row>
    <row r="31" customFormat="false" ht="15" hidden="false" customHeight="true" outlineLevel="0" collapsed="false">
      <c r="A31" s="31" t="s">
        <v>383</v>
      </c>
      <c r="B31" s="68" t="s">
        <v>384</v>
      </c>
      <c r="C31" s="3" t="s">
        <v>385</v>
      </c>
    </row>
    <row r="32" customFormat="false" ht="15" hidden="false" customHeight="true" outlineLevel="0" collapsed="false">
      <c r="A32" s="31" t="s">
        <v>386</v>
      </c>
      <c r="B32" s="68" t="s">
        <v>387</v>
      </c>
      <c r="C32" s="3" t="s">
        <v>388</v>
      </c>
    </row>
    <row r="33" customFormat="false" ht="15" hidden="false" customHeight="true" outlineLevel="0" collapsed="false">
      <c r="A33" s="31" t="s">
        <v>389</v>
      </c>
      <c r="B33" s="68" t="s">
        <v>390</v>
      </c>
      <c r="C33" s="3" t="s">
        <v>391</v>
      </c>
    </row>
    <row r="34" customFormat="false" ht="15" hidden="false" customHeight="true" outlineLevel="0" collapsed="false">
      <c r="A34" s="31" t="s">
        <v>392</v>
      </c>
      <c r="B34" s="68" t="s">
        <v>393</v>
      </c>
      <c r="C34" s="3" t="s">
        <v>394</v>
      </c>
    </row>
    <row r="35" customFormat="false" ht="15" hidden="false" customHeight="true" outlineLevel="0" collapsed="false">
      <c r="A35" s="31" t="s">
        <v>395</v>
      </c>
      <c r="B35" s="68" t="s">
        <v>396</v>
      </c>
      <c r="C35" s="3" t="s">
        <v>397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20"/>
  </cols>
  <sheetData>
    <row r="1" customFormat="false" ht="18" hidden="false" customHeight="true" outlineLevel="0" collapsed="false">
      <c r="B1" s="2" t="s">
        <v>398</v>
      </c>
    </row>
    <row r="3" customFormat="false" ht="15" hidden="false" customHeight="true" outlineLevel="0" collapsed="false">
      <c r="A3" s="19"/>
      <c r="B3" s="18" t="s">
        <v>399</v>
      </c>
    </row>
    <row r="4" customFormat="false" ht="27.75" hidden="false" customHeight="true" outlineLevel="0" collapsed="false">
      <c r="B4" s="69" t="s">
        <v>400</v>
      </c>
    </row>
    <row r="5" customFormat="false" ht="55.5" hidden="false" customHeight="true" outlineLevel="0" collapsed="false">
      <c r="B5" s="69" t="s">
        <v>401</v>
      </c>
    </row>
    <row r="6" customFormat="false" ht="69.75" hidden="false" customHeight="true" outlineLevel="0" collapsed="false">
      <c r="B6" s="69" t="s">
        <v>402</v>
      </c>
    </row>
    <row r="7" customFormat="false" ht="27.75" hidden="false" customHeight="true" outlineLevel="0" collapsed="false">
      <c r="B7" s="69" t="s">
        <v>403</v>
      </c>
    </row>
    <row r="8" customFormat="false" ht="27.75" hidden="false" customHeight="true" outlineLevel="0" collapsed="false">
      <c r="B8" s="69" t="s">
        <v>404</v>
      </c>
    </row>
    <row r="9" customFormat="false" ht="27.75" hidden="false" customHeight="true" outlineLevel="0" collapsed="false">
      <c r="B9" s="69" t="s">
        <v>405</v>
      </c>
    </row>
    <row r="10" customFormat="false" ht="23.25" hidden="false" customHeight="true" outlineLevel="0" collapsed="false">
      <c r="B10" s="69" t="s">
        <v>406</v>
      </c>
    </row>
    <row r="11" customFormat="false" ht="15" hidden="false" customHeight="true" outlineLevel="0" collapsed="false"/>
    <row r="12" customFormat="false" ht="13.5" hidden="false" customHeight="true" outlineLevel="0" collapsed="false">
      <c r="A12" s="19"/>
      <c r="B12" s="18" t="s">
        <v>407</v>
      </c>
    </row>
    <row r="13" customFormat="false" ht="27.75" hidden="false" customHeight="true" outlineLevel="0" collapsed="false">
      <c r="B13" s="69" t="s">
        <v>408</v>
      </c>
    </row>
    <row r="14" customFormat="false" ht="27.75" hidden="false" customHeight="true" outlineLevel="0" collapsed="false">
      <c r="B14" s="69" t="s">
        <v>409</v>
      </c>
    </row>
    <row r="15" customFormat="false" ht="23.25" hidden="false" customHeight="true" outlineLevel="0" collapsed="false">
      <c r="B15" s="69" t="s">
        <v>410</v>
      </c>
    </row>
    <row r="16" customFormat="false" ht="15" hidden="false" customHeight="true" outlineLevel="0" collapsed="false"/>
    <row r="17" customFormat="false" ht="27.75" hidden="false" customHeight="true" outlineLevel="0" collapsed="false">
      <c r="A17" s="19"/>
      <c r="B17" s="18" t="s">
        <v>411</v>
      </c>
    </row>
    <row r="18" customFormat="false" ht="13.5" hidden="false" customHeight="true" outlineLevel="0" collapsed="false">
      <c r="B18" s="69" t="s">
        <v>412</v>
      </c>
    </row>
    <row r="19" customFormat="false" ht="27.75" hidden="false" customHeight="true" outlineLevel="0" collapsed="false">
      <c r="B19" s="69" t="s">
        <v>413</v>
      </c>
    </row>
    <row r="20" customFormat="false" ht="13.5" hidden="false" customHeight="true" outlineLevel="0" collapsed="false">
      <c r="B20" s="69" t="s">
        <v>414</v>
      </c>
    </row>
    <row r="21" customFormat="false" ht="27.75" hidden="false" customHeight="true" outlineLevel="0" collapsed="false">
      <c r="B21" s="69" t="s">
        <v>415</v>
      </c>
    </row>
    <row r="22" customFormat="false" ht="15" hidden="false" customHeight="true" outlineLevel="0" collapsed="false">
      <c r="B22" s="69" t="s">
        <v>416</v>
      </c>
    </row>
    <row r="23" customFormat="false" ht="15" hidden="false" customHeight="true" outlineLevel="0" collapsed="false"/>
    <row r="24" customFormat="false" ht="13.5" hidden="false" customHeight="true" outlineLevel="0" collapsed="false">
      <c r="A24" s="19"/>
      <c r="B24" s="18" t="s">
        <v>417</v>
      </c>
    </row>
    <row r="25" customFormat="false" ht="13.5" hidden="false" customHeight="true" outlineLevel="0" collapsed="false">
      <c r="B25" s="69" t="s">
        <v>418</v>
      </c>
    </row>
    <row r="26" customFormat="false" ht="13.5" hidden="false" customHeight="true" outlineLevel="0" collapsed="false">
      <c r="B26" s="69" t="s">
        <v>419</v>
      </c>
    </row>
    <row r="27" customFormat="false" ht="13.5" hidden="false" customHeight="true" outlineLevel="0" collapsed="false">
      <c r="B27" s="69" t="s">
        <v>420</v>
      </c>
    </row>
    <row r="28" customFormat="false" ht="27.75" hidden="false" customHeight="true" outlineLevel="0" collapsed="false">
      <c r="B28" s="69" t="s">
        <v>421</v>
      </c>
    </row>
    <row r="29" customFormat="false" ht="23.25" hidden="false" customHeight="true" outlineLevel="0" collapsed="false">
      <c r="B29" s="69" t="s">
        <v>422</v>
      </c>
    </row>
    <row r="30" customFormat="false" ht="15" hidden="false" customHeight="true" outlineLevel="0" collapsed="false"/>
    <row r="31" customFormat="false" ht="27.75" hidden="false" customHeight="true" outlineLevel="0" collapsed="false">
      <c r="A31" s="19"/>
      <c r="B31" s="18" t="s">
        <v>423</v>
      </c>
    </row>
    <row r="32" customFormat="false" ht="27.75" hidden="false" customHeight="true" outlineLevel="0" collapsed="false">
      <c r="B32" s="69" t="s">
        <v>424</v>
      </c>
    </row>
    <row r="33" customFormat="false" ht="27.75" hidden="false" customHeight="true" outlineLevel="0" collapsed="false">
      <c r="B33" s="69" t="s">
        <v>425</v>
      </c>
    </row>
    <row r="34" customFormat="false" ht="27.75" hidden="false" customHeight="true" outlineLevel="0" collapsed="false">
      <c r="B34" s="69" t="s">
        <v>426</v>
      </c>
    </row>
    <row r="35" customFormat="false" ht="13.5" hidden="false" customHeight="true" outlineLevel="0" collapsed="false">
      <c r="B35" s="69" t="s">
        <v>427</v>
      </c>
    </row>
    <row r="36" customFormat="false" ht="13.5" hidden="false" customHeight="true" outlineLevel="0" collapsed="false">
      <c r="B36" s="69" t="s">
        <v>428</v>
      </c>
    </row>
    <row r="37" customFormat="false" ht="13.5" hidden="false" customHeight="true" outlineLevel="0" collapsed="false">
      <c r="B37" s="69" t="s">
        <v>429</v>
      </c>
    </row>
    <row r="38" customFormat="false" ht="13.5" hidden="false" customHeight="true" outlineLevel="0" collapsed="false">
      <c r="B38" s="69" t="s">
        <v>430</v>
      </c>
    </row>
    <row r="39" customFormat="false" ht="13.5" hidden="false" customHeight="true" outlineLevel="0" collapsed="false">
      <c r="B39" s="69" t="s">
        <v>431</v>
      </c>
    </row>
    <row r="40" customFormat="false" ht="27.75" hidden="false" customHeight="true" outlineLevel="0" collapsed="false">
      <c r="B40" s="69" t="s">
        <v>432</v>
      </c>
    </row>
    <row r="41" customFormat="false" ht="13.5" hidden="false" customHeight="true" outlineLevel="0" collapsed="false">
      <c r="B41" s="69" t="s">
        <v>433</v>
      </c>
    </row>
    <row r="42" customFormat="false" ht="27.75" hidden="false" customHeight="true" outlineLevel="0" collapsed="false">
      <c r="B42" s="69" t="s">
        <v>434</v>
      </c>
    </row>
    <row r="43" customFormat="false" ht="15" hidden="false" customHeight="true" outlineLevel="0" collapsed="false">
      <c r="B43" s="69" t="s">
        <v>435</v>
      </c>
    </row>
    <row r="44" customFormat="false" ht="15" hidden="false" customHeight="true" outlineLevel="0" collapsed="false"/>
    <row r="45" customFormat="false" ht="15" hidden="false" customHeight="true" outlineLevel="0" collapsed="false">
      <c r="B45" s="3" t="s">
        <v>436</v>
      </c>
    </row>
    <row r="47" customFormat="false" ht="15" hidden="false" customHeight="true" outlineLevel="0" collapsed="false">
      <c r="B47" s="3" t="s">
        <v>437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2026-08-12T12:36:27Z</dcterms:created>
  <dc:creator>openpyxl</dc:creator>
  <dc:description/>
  <dc:language>en-US</dc:language>
  <cp:lastModifiedBy/>
  <dcterms:modified xsi:type="dcterms:W3CDTF">2026-09-04T11:28:33Z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